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D:\01 CONTRACTOR\UPDATES TOOLS\Voordeel alle aard wagen 2022\Expert\orginal\"/>
    </mc:Choice>
  </mc:AlternateContent>
  <xr:revisionPtr revIDLastSave="0" documentId="13_ncr:1_{77752FAC-D0E6-41AB-A79C-293A9DBB08F7}" xr6:coauthVersionLast="47" xr6:coauthVersionMax="47" xr10:uidLastSave="{00000000-0000-0000-0000-000000000000}"/>
  <bookViews>
    <workbookView showSheetTabs="0" xWindow="-120" yWindow="-120" windowWidth="29040" windowHeight="15840" xr2:uid="{00000000-000D-0000-FFFF-FFFF00000000}"/>
  </bookViews>
  <sheets>
    <sheet name="Home" sheetId="15" r:id="rId1"/>
    <sheet name="1" sheetId="11" r:id="rId2"/>
    <sheet name="calc" sheetId="12" state="veryHidden" r:id="rId3"/>
  </sheets>
  <definedNames>
    <definedName name="Aanschafjaar">OFFSET(calc!$H$5,,,IF(calc!$L$32&lt;2018,1,2))</definedName>
    <definedName name="coot">'1'!$E$10</definedName>
    <definedName name="coot2">'1'!$E$11</definedName>
    <definedName name="Dagen_invulveld">OFFSET(calc!$I$11,,,IF(calc!$E$10="dagen28",28+1*calc!$D$30,IF(calc!$E$10="dagen30",30,31)),)</definedName>
    <definedName name="dagen28">calc!$F$11:$F$39</definedName>
    <definedName name="dagen30">calc!$G$11:$G$40</definedName>
    <definedName name="dagen31">calc!$H$11:$H$41</definedName>
    <definedName name="_xlnm.Print_Area" localSheetId="1">'1'!$A$1:$E$50</definedName>
    <definedName name="_xlnm.Print_Area" localSheetId="0">Home!$B$2:$S$25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1" l="1"/>
  <c r="D15" i="11"/>
  <c r="D8" i="11" l="1"/>
  <c r="L33" i="12"/>
  <c r="D10" i="11"/>
  <c r="M26" i="12" l="1"/>
  <c r="N26" i="12"/>
  <c r="O26" i="12"/>
  <c r="P26" i="12"/>
  <c r="Q26" i="12"/>
  <c r="L26" i="12"/>
  <c r="M44" i="12" l="1"/>
  <c r="E39" i="11" l="1"/>
  <c r="M38" i="12" l="1"/>
  <c r="M46" i="12" s="1"/>
  <c r="M45" i="12" s="1"/>
  <c r="M34" i="12"/>
  <c r="M35" i="12" l="1"/>
  <c r="L35" i="12" s="1"/>
  <c r="L34" i="12"/>
  <c r="N38" i="12"/>
  <c r="N46" i="12" s="1"/>
  <c r="N44" i="12" s="1"/>
  <c r="O38" i="12" l="1"/>
  <c r="O46" i="12" s="1"/>
  <c r="O44" i="12" s="1"/>
  <c r="O45" i="12" s="1"/>
  <c r="M36" i="12"/>
  <c r="L36" i="12" s="1"/>
  <c r="L32" i="12"/>
  <c r="K41" i="12" s="1"/>
  <c r="N45" i="12"/>
  <c r="P38" i="12" l="1"/>
  <c r="P46" i="12" s="1"/>
  <c r="K44" i="12"/>
  <c r="K42" i="12"/>
  <c r="D41" i="12"/>
  <c r="K43" i="12"/>
  <c r="C5" i="12"/>
  <c r="K45" i="12"/>
  <c r="Q33" i="12"/>
  <c r="B27" i="11" s="1"/>
  <c r="B5" i="12"/>
  <c r="H4" i="12"/>
  <c r="E33" i="11"/>
  <c r="B18" i="11"/>
  <c r="B35" i="11"/>
  <c r="B34" i="11"/>
  <c r="B29" i="11"/>
  <c r="B28" i="11"/>
  <c r="P44" i="12"/>
  <c r="P45" i="12" s="1"/>
  <c r="H6" i="12"/>
  <c r="D24" i="11"/>
  <c r="E24" i="11"/>
  <c r="D40" i="12"/>
  <c r="D39" i="12" s="1"/>
  <c r="D38" i="12" s="1"/>
  <c r="D37" i="12" s="1"/>
  <c r="D36" i="12" s="1"/>
  <c r="D35" i="12" s="1"/>
  <c r="D34" i="12" s="1"/>
  <c r="D49" i="12"/>
  <c r="B43" i="11" l="1"/>
  <c r="B42" i="11"/>
  <c r="D33" i="12"/>
  <c r="G13" i="11" s="1"/>
  <c r="B2" i="12" l="1"/>
  <c r="E14" i="11" s="1"/>
  <c r="H13" i="11"/>
  <c r="D23" i="11" s="1"/>
  <c r="D30" i="12"/>
  <c r="K27" i="12"/>
  <c r="M28" i="12" s="1"/>
  <c r="K26" i="12"/>
  <c r="Q28" i="12" l="1"/>
  <c r="L28" i="12"/>
  <c r="T28" i="12" s="1"/>
  <c r="P28" i="12"/>
  <c r="O28" i="12"/>
  <c r="P40" i="12" l="1"/>
  <c r="E42" i="11"/>
  <c r="D22" i="11"/>
  <c r="E22" i="11"/>
  <c r="L27" i="12" l="1"/>
  <c r="M27" i="12"/>
  <c r="K5" i="12"/>
  <c r="N7" i="12"/>
  <c r="T27" i="12" l="1"/>
  <c r="Q27" i="12"/>
  <c r="O27" i="12"/>
  <c r="P27" i="12"/>
  <c r="E46" i="11" s="1"/>
  <c r="M4" i="12"/>
  <c r="L4" i="12"/>
  <c r="O40" i="12" s="1"/>
  <c r="M40" i="12" l="1"/>
  <c r="N40" i="12"/>
  <c r="N39" i="12"/>
  <c r="P39" i="12"/>
  <c r="O39" i="12"/>
  <c r="E43" i="11"/>
  <c r="D43" i="11" s="1"/>
  <c r="K40" i="12"/>
  <c r="E47" i="11"/>
  <c r="D47" i="11" s="1"/>
  <c r="M39" i="12"/>
  <c r="E10" i="12"/>
  <c r="I18" i="12"/>
  <c r="K39" i="12" l="1"/>
  <c r="C4" i="12"/>
  <c r="C6" i="12" s="1"/>
  <c r="G14" i="11"/>
  <c r="B4" i="12"/>
  <c r="E23" i="11"/>
  <c r="I21" i="12"/>
  <c r="I38" i="12"/>
  <c r="I19" i="12"/>
  <c r="I27" i="12"/>
  <c r="I37" i="12"/>
  <c r="I30" i="12"/>
  <c r="I24" i="12"/>
  <c r="I40" i="12"/>
  <c r="I22" i="12"/>
  <c r="I23" i="12"/>
  <c r="I32" i="12"/>
  <c r="I28" i="12"/>
  <c r="I11" i="12"/>
  <c r="I31" i="12"/>
  <c r="I35" i="12"/>
  <c r="I41" i="12"/>
  <c r="I26" i="12"/>
  <c r="I36" i="12"/>
  <c r="I14" i="12"/>
  <c r="I13" i="12"/>
  <c r="I12" i="12"/>
  <c r="I17" i="12"/>
  <c r="I20" i="12"/>
  <c r="I29" i="12"/>
  <c r="I25" i="12"/>
  <c r="I39" i="12"/>
  <c r="I16" i="12"/>
  <c r="I15" i="12"/>
  <c r="I34" i="12"/>
  <c r="I33" i="12"/>
  <c r="E15" i="11" l="1"/>
  <c r="B6" i="12"/>
  <c r="D44" i="12"/>
  <c r="D10" i="12"/>
  <c r="J13" i="11" s="1"/>
  <c r="I13" i="11" s="1"/>
  <c r="E25" i="11"/>
  <c r="D25" i="11"/>
  <c r="D4" i="12" l="1"/>
  <c r="D5" i="12" s="1"/>
  <c r="D6" i="12" l="1"/>
  <c r="E21" i="11" s="1"/>
  <c r="D21" i="11" l="1"/>
  <c r="E26" i="11"/>
  <c r="E27" i="11"/>
  <c r="D27" i="11"/>
  <c r="D26" i="11"/>
  <c r="D28" i="11" l="1"/>
  <c r="E35" i="11" l="1"/>
  <c r="C28" i="11"/>
  <c r="D29" i="11"/>
  <c r="D30" i="11" s="1"/>
  <c r="E3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author>
  </authors>
  <commentList>
    <comment ref="P23" authorId="0" shapeId="0" xr:uid="{00000000-0006-0000-0000-000001000000}">
      <text>
        <r>
          <rPr>
            <b/>
            <sz val="8"/>
            <color indexed="8"/>
            <rFont val="Tahoma"/>
            <family val="2"/>
          </rPr>
          <t>© Indicator - Aucune partie de ce module de calcul ne peut être reproduite, mise en mémoire dans un fichier automatisé ou publiée sous quelque forme ou de quelque façon que ce soit, par des moyens mécaniques ou électroniques, par des procédés de photocopie ou de photographie, ou de toute autre manière, sans l'autorisation écrite préalable de l'éditeur.</t>
        </r>
      </text>
    </comment>
    <comment ref="P24" authorId="0" shapeId="0" xr:uid="{00000000-0006-0000-0000-000002000000}">
      <text>
        <r>
          <rPr>
            <b/>
            <sz val="8"/>
            <color indexed="8"/>
            <rFont val="Tahoma"/>
            <family val="2"/>
          </rPr>
          <t>Indicator - La rédaction veille à la fiabilité des informations lesquelles ne sauraient toutefois engager sa responsabilité.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Philippe</author>
  </authors>
  <commentList>
    <comment ref="G8" authorId="0" shapeId="0" xr:uid="{00000000-0006-0000-0100-000001000000}">
      <text>
        <r>
          <rPr>
            <sz val="8"/>
            <color indexed="45"/>
            <rFont val="Tahoma"/>
            <family val="2"/>
          </rPr>
          <t xml:space="preserve">Sont considérés comme de </t>
        </r>
        <r>
          <rPr>
            <b/>
            <sz val="8"/>
            <color indexed="45"/>
            <rFont val="Tahoma"/>
            <family val="2"/>
          </rPr>
          <t>"faux" hybrides</t>
        </r>
        <r>
          <rPr>
            <sz val="8"/>
            <color indexed="45"/>
            <rFont val="Tahoma"/>
            <family val="2"/>
          </rPr>
          <t xml:space="preserve"> : les hybrides rechargeables ("plug-in") qui soit sont équipés d'une batterie à capacité énergétique limitée (moins de 0,5 kWh par 100 kg de poids de la voiture), soit émettent plus de 50 g de CO2 par km.
Pour les "faux hybrides" achetés, commandés ou loués depuis le 1er janvier 2018 (signature du contrat/bon de commande), l'administration fiscale se basera sur les émissions de CO2 de l'équivalent non hybride pour déterminer la déductibilité fiscale des frais de voiture, et ce à partir de l'exercice d'imposition 2021 (liée à un exercice comptable débutant au plus tôt le 1er janvier 2020), ainsi que pour déterminer les ATN voiture accordés depuis le 1er janvier 2020. S'il n'existe pas de modèle équivalent à propulsion conventionnelle, multipliez les émissions officielles de CO2 mentionnées sur le certificat d'immatriculation / l'attestation de conformité du "faux hybride" par un facteur 2,5.
Le terme </t>
        </r>
        <r>
          <rPr>
            <b/>
            <sz val="8"/>
            <color indexed="45"/>
            <rFont val="Tahoma"/>
            <family val="2"/>
          </rPr>
          <t>"électrique"</t>
        </r>
        <r>
          <rPr>
            <sz val="8"/>
            <color indexed="45"/>
            <rFont val="Tahoma"/>
            <family val="2"/>
          </rPr>
          <t xml:space="preserve"> désigne une voiture 100% électrique.</t>
        </r>
      </text>
    </comment>
    <comment ref="G12" authorId="0" shapeId="0" xr:uid="{00000000-0006-0000-0100-000002000000}">
      <text>
        <r>
          <rPr>
            <sz val="8"/>
            <color indexed="45"/>
            <rFont val="Tahoma"/>
            <family val="2"/>
          </rPr>
          <t xml:space="preserve">La </t>
        </r>
        <r>
          <rPr>
            <b/>
            <sz val="8"/>
            <color indexed="45"/>
            <rFont val="Tahoma"/>
            <family val="2"/>
          </rPr>
          <t>valeur que vous devez indiquer</t>
        </r>
        <r>
          <rPr>
            <sz val="8"/>
            <color indexed="45"/>
            <rFont val="Tahoma"/>
            <family val="2"/>
          </rPr>
          <t xml:space="preserve"> ici est égale au :
prix catalogue hors TVA (*)
+ options hors TVA 
+ TVA effectivement payée
(*) remarque : un </t>
        </r>
        <r>
          <rPr>
            <b/>
            <sz val="8"/>
            <color indexed="45"/>
            <rFont val="Tahoma"/>
            <family val="2"/>
          </rPr>
          <t>prix catalogue</t>
        </r>
        <r>
          <rPr>
            <sz val="8"/>
            <color indexed="45"/>
            <rFont val="Tahoma"/>
            <family val="2"/>
          </rPr>
          <t xml:space="preserve"> (ou le prix d'un pack d'options) </t>
        </r>
        <r>
          <rPr>
            <b/>
            <sz val="8"/>
            <color indexed="45"/>
            <rFont val="Tahoma"/>
            <family val="2"/>
          </rPr>
          <t xml:space="preserve">temporairement réduit </t>
        </r>
        <r>
          <rPr>
            <sz val="8"/>
            <color indexed="45"/>
            <rFont val="Tahoma"/>
            <family val="2"/>
          </rPr>
          <t xml:space="preserve">par le fabricant ou l'importateur n'est pris en compte dans la base de calcul de l'avantage en nature que si ce prix (temporaire) est effectivement inclus par le fabricant ou l'importateur dans ses listes de prix en tant que nouveau prix de catalogue,  et s'il s'applique également aux ventes à un particulier.
Une </t>
        </r>
        <r>
          <rPr>
            <b/>
            <sz val="8"/>
            <color indexed="45"/>
            <rFont val="Tahoma"/>
            <family val="2"/>
          </rPr>
          <t xml:space="preserve">remise </t>
        </r>
        <r>
          <rPr>
            <sz val="8"/>
            <color indexed="45"/>
            <rFont val="Tahoma"/>
            <family val="2"/>
          </rPr>
          <t>accordée par un concessionnaire local ne peut pas être déduite du prix catalogue.  
Exemple :
Prix catalogue hors TVA : 25 000
Options hors TVA : 2 500
Remise (concessionnaire local) : 1 500
TVA payée : 21% de plus (25.000+2.500-1.500) = 5.460
=&gt; valeur à remplir : 25.000+2.500+5.460=32.960</t>
        </r>
      </text>
    </comment>
    <comment ref="G39" authorId="0" shapeId="0" xr:uid="{00000000-0006-0000-0100-000003000000}">
      <text>
        <r>
          <rPr>
            <sz val="8"/>
            <color indexed="45"/>
            <rFont val="Tahoma"/>
            <family val="2"/>
          </rPr>
          <t>À l'impôt des personnes physiqpues, indiquer 01-01-2022.</t>
        </r>
      </text>
    </comment>
    <comment ref="G41" authorId="0" shapeId="0" xr:uid="{00000000-0006-0000-0100-000004000000}">
      <text>
        <r>
          <rPr>
            <sz val="8"/>
            <color indexed="45"/>
            <rFont val="Tahoma"/>
            <family val="2"/>
          </rPr>
          <t>Ces pourcentages valent pour tous les frais de voiture, à l'exception des frais de financement et de mobilophonie (100% déductibles).</t>
        </r>
      </text>
    </comment>
  </commentList>
</comments>
</file>

<file path=xl/sharedStrings.xml><?xml version="1.0" encoding="utf-8"?>
<sst xmlns="http://schemas.openxmlformats.org/spreadsheetml/2006/main" count="117" uniqueCount="98">
  <si>
    <t>Ç</t>
  </si>
  <si>
    <t>i</t>
  </si>
  <si>
    <t>Å</t>
  </si>
  <si>
    <t>Æ</t>
  </si>
  <si>
    <t>Diesel</t>
  </si>
  <si>
    <t>Tenlasteneming privé-brandstof</t>
  </si>
  <si>
    <t>dagen31</t>
  </si>
  <si>
    <t>dagen28</t>
  </si>
  <si>
    <t>dagen30</t>
  </si>
  <si>
    <t>Indirect-functie</t>
  </si>
  <si>
    <t>Inlevering in 2020</t>
  </si>
  <si>
    <t>LPG</t>
  </si>
  <si>
    <t>Fiscale aftrekbaaheid</t>
  </si>
  <si>
    <r>
      <t>}</t>
    </r>
    <r>
      <rPr>
        <b/>
        <sz val="9"/>
        <color rgb="FF002060"/>
        <rFont val="Tahoma"/>
        <family val="2"/>
      </rPr>
      <t xml:space="preserve"> </t>
    </r>
    <r>
      <rPr>
        <b/>
        <u/>
        <sz val="8"/>
        <color rgb="FF002060"/>
        <rFont val="Tahoma"/>
        <family val="2"/>
      </rPr>
      <t>copyright</t>
    </r>
  </si>
  <si>
    <r>
      <t>}</t>
    </r>
    <r>
      <rPr>
        <b/>
        <sz val="9"/>
        <color rgb="FF002060"/>
        <rFont val="Tahoma"/>
        <family val="2"/>
      </rPr>
      <t xml:space="preserve"> </t>
    </r>
    <r>
      <rPr>
        <b/>
        <u/>
        <sz val="8"/>
        <color rgb="FF002060"/>
        <rFont val="Tahoma"/>
        <family val="2"/>
      </rPr>
      <t>disclaimer</t>
    </r>
  </si>
  <si>
    <t>Aanschaffing bedrijfswagen</t>
  </si>
  <si>
    <t>&lt; 2018</t>
  </si>
  <si>
    <t>Eerste inschrijving bij DIV</t>
  </si>
  <si>
    <t>Aanvang VAA</t>
  </si>
  <si>
    <t>eerste inschrijving DIV</t>
  </si>
  <si>
    <t xml:space="preserve">  # dagen</t>
  </si>
  <si>
    <t>Aanvangsdatum boekjaar AJ 2021:</t>
  </si>
  <si>
    <t>Vennootschap</t>
  </si>
  <si>
    <t>Eénmanszaak</t>
  </si>
  <si>
    <t>diesel</t>
  </si>
  <si>
    <t>benzine</t>
  </si>
  <si>
    <t>Type brandstof en co2</t>
  </si>
  <si>
    <t>Eenmanszaak</t>
  </si>
  <si>
    <t>Nieuwe regels</t>
  </si>
  <si>
    <t>FISCALE  AFTREKBAARHEID</t>
  </si>
  <si>
    <t>Vanaf VAA jaar 2022 kan je bij fiscale aftrekbaarhied opsplitsing per jaar laten vallen</t>
  </si>
  <si>
    <t>aanslagjaar venn. nieuwe regels</t>
  </si>
  <si>
    <t>Schrikkeljaar?:</t>
  </si>
  <si>
    <t>(nodig voor dagen feb.)</t>
  </si>
  <si>
    <t>Oude regels</t>
  </si>
  <si>
    <t>(vul huidig inkomstnejaar in)</t>
  </si>
  <si>
    <t>inkomstenjaren</t>
  </si>
  <si>
    <t>Fiscale aftrekbaarheid EZ</t>
  </si>
  <si>
    <t>Fiscale aftrekbaarheid Venn</t>
  </si>
  <si>
    <t>Aantal dagen in dat jaar?</t>
  </si>
  <si>
    <t>Minimum VAA</t>
  </si>
  <si>
    <t>Referentie co2-uitstoot diesel</t>
  </si>
  <si>
    <t>Referentie co2-uitstoot andere</t>
  </si>
  <si>
    <t>aantal dagen in dat inkomstenjaar</t>
  </si>
  <si>
    <t>Bepaling eerste dag  vanhet jaar</t>
  </si>
  <si>
    <t>(Vul rode velden in)</t>
  </si>
  <si>
    <t>Laatste dag van het jaar</t>
  </si>
  <si>
    <t>(*) Les frais de financement et de mobilophonie sont 100% déductibles</t>
  </si>
  <si>
    <t>janvier</t>
  </si>
  <si>
    <t>février</t>
  </si>
  <si>
    <t>mars</t>
  </si>
  <si>
    <t>avril</t>
  </si>
  <si>
    <t>mai</t>
  </si>
  <si>
    <t>juin</t>
  </si>
  <si>
    <t>juillet</t>
  </si>
  <si>
    <t>août</t>
  </si>
  <si>
    <t>septembre</t>
  </si>
  <si>
    <t>octobre</t>
  </si>
  <si>
    <t>novembre</t>
  </si>
  <si>
    <t>décembre</t>
  </si>
  <si>
    <t>Oui</t>
  </si>
  <si>
    <t>Non</t>
  </si>
  <si>
    <t>Carburant</t>
  </si>
  <si>
    <r>
      <t>Autres</t>
    </r>
    <r>
      <rPr>
        <b/>
        <i/>
        <sz val="9"/>
        <color theme="0" tint="-0.34998626667073579"/>
        <rFont val="Tahoma"/>
        <family val="2"/>
      </rPr>
      <t xml:space="preserve"> (*)</t>
    </r>
  </si>
  <si>
    <t>Avantage en pourcents :</t>
  </si>
  <si>
    <t>Après application du facteur 6/7 :</t>
  </si>
  <si>
    <t>Prise en charge totale ou partielle par la socété de frais de carburant privé ?</t>
  </si>
  <si>
    <r>
      <t>Émissions de CO</t>
    </r>
    <r>
      <rPr>
        <vertAlign val="subscript"/>
        <sz val="9"/>
        <rFont val="Tahoma"/>
        <family val="2"/>
      </rPr>
      <t xml:space="preserve">2 </t>
    </r>
    <r>
      <rPr>
        <sz val="9"/>
        <rFont val="Tahoma"/>
        <family val="2"/>
      </rPr>
      <t>de l'équivalent non hybride (g/km):</t>
    </r>
  </si>
  <si>
    <t>Année de l'achat, du leasing ou de la location :</t>
  </si>
  <si>
    <t>Essence</t>
  </si>
  <si>
    <t>Électricité</t>
  </si>
  <si>
    <t>CNG (gaz naturel) &lt; 12 cf</t>
  </si>
  <si>
    <t>CNG (gaz naturel) &gt;= 12 cf</t>
  </si>
  <si>
    <t>Choisissez l'année de revenus :</t>
  </si>
  <si>
    <t>Choisissez le type de carburant :</t>
  </si>
  <si>
    <r>
      <t>Indiquez les émissions de CO</t>
    </r>
    <r>
      <rPr>
        <vertAlign val="subscript"/>
        <sz val="9"/>
        <rFont val="Tahoma"/>
        <family val="2"/>
      </rPr>
      <t>2</t>
    </r>
    <r>
      <rPr>
        <sz val="9"/>
        <rFont val="Tahoma"/>
        <family val="2"/>
      </rPr>
      <t xml:space="preserve"> (g/km) :</t>
    </r>
  </si>
  <si>
    <r>
      <t xml:space="preserve">Indiquez la valeur catalogue </t>
    </r>
    <r>
      <rPr>
        <sz val="8"/>
        <rFont val="Tahoma"/>
        <family val="2"/>
      </rPr>
      <t xml:space="preserve">(options et TVA payée incluses, mais sans la réduction) </t>
    </r>
    <r>
      <rPr>
        <sz val="9"/>
        <rFont val="Tahoma"/>
        <family val="2"/>
      </rPr>
      <t>:</t>
    </r>
  </si>
  <si>
    <t>Jour, mois et année de la première inscription à la DIV :</t>
  </si>
  <si>
    <t>Date de début de la mise à disposition du véhicule a des fins privées :</t>
  </si>
  <si>
    <t>Valeur catalogue :</t>
  </si>
  <si>
    <t>Correction ancienneté du véhicule :</t>
  </si>
  <si>
    <t>Nombre de jours :</t>
  </si>
  <si>
    <t>Avantage de toute nature sur fiche :</t>
  </si>
  <si>
    <t>Entreprise ind. jusqu'à l'EI 2018 :</t>
  </si>
  <si>
    <t>Entreprise ind. EI 2019 et 2020 :</t>
  </si>
  <si>
    <t>Entreprise ind. àpd EI 2021 :</t>
  </si>
  <si>
    <t>Référence (marque, numéro de plaque, nom du conducteur, …)</t>
  </si>
  <si>
    <r>
      <t>}</t>
    </r>
    <r>
      <rPr>
        <b/>
        <sz val="9"/>
        <color indexed="16"/>
        <rFont val="Tahoma"/>
        <family val="2"/>
      </rPr>
      <t xml:space="preserve"> Données </t>
    </r>
    <r>
      <rPr>
        <sz val="9"/>
        <color rgb="FFFF0000"/>
        <rFont val="Tahoma"/>
        <family val="2"/>
      </rPr>
      <t>(complétez les cases rouges)</t>
    </r>
  </si>
  <si>
    <r>
      <t>}</t>
    </r>
    <r>
      <rPr>
        <b/>
        <sz val="9"/>
        <color indexed="16"/>
        <rFont val="Tahoma"/>
        <family val="2"/>
      </rPr>
      <t xml:space="preserve"> Déductibilité fiscale des frais de voiture</t>
    </r>
  </si>
  <si>
    <r>
      <t>}</t>
    </r>
    <r>
      <rPr>
        <b/>
        <sz val="9"/>
        <color indexed="16"/>
        <rFont val="Tahoma"/>
        <family val="2"/>
      </rPr>
      <t xml:space="preserve"> Résultat</t>
    </r>
  </si>
  <si>
    <t>Calculez-le vous-même!</t>
  </si>
  <si>
    <r>
      <t>}</t>
    </r>
    <r>
      <rPr>
        <b/>
        <sz val="9"/>
        <color indexed="45"/>
        <rFont val="Tahoma"/>
        <family val="2"/>
      </rPr>
      <t xml:space="preserve"> cliquez </t>
    </r>
    <r>
      <rPr>
        <b/>
        <u/>
        <sz val="9"/>
        <color indexed="45"/>
        <rFont val="Tahoma"/>
        <family val="2"/>
      </rPr>
      <t>ici</t>
    </r>
  </si>
  <si>
    <t>Lefebvre Sarrut SA |Rue Haute 139 - Boite 6 | 1000 Bruxelles 
Adresse postale: Tiensesteenweg 306 | 3000 Louvain  | T 0800 39 067 | F 0800 39 068</t>
  </si>
  <si>
    <t>Avantage voiture - année de revenus 2022</t>
  </si>
  <si>
    <t>L'avantage de toute nature d'une voiture de société en 2022</t>
  </si>
  <si>
    <r>
      <t>}</t>
    </r>
    <r>
      <rPr>
        <b/>
        <sz val="9"/>
        <color indexed="16"/>
        <rFont val="Tahoma"/>
        <family val="2"/>
      </rPr>
      <t xml:space="preserve"> Avantage imposable pour 2022</t>
    </r>
  </si>
  <si>
    <t>Date de début ex. comptable EI 2023 :</t>
  </si>
  <si>
    <t>Mis à jour au 06.01.2022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</si>
</sst>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813]"/>
    <numFmt numFmtId="165" formatCode="0.000%"/>
    <numFmt numFmtId="166" formatCode="dd\/mm\/yyyy"/>
    <numFmt numFmtId="167" formatCode="dd/mm/yyyy"/>
    <numFmt numFmtId="168" formatCode="&quot;&lt;&quot;\ General"/>
    <numFmt numFmtId="169" formatCode="_ [$€-2]\ * #,##0.00_ ;_ [$€-2]\ * \-#,##0.00_ ;_ [$€-2]\ * &quot;-&quot;??_ ;_ @_ "/>
  </numFmts>
  <fonts count="65" x14ac:knownFonts="1">
    <font>
      <sz val="9"/>
      <color indexed="8"/>
      <name val="Tahoma"/>
      <family val="2"/>
    </font>
    <font>
      <sz val="9"/>
      <color theme="1"/>
      <name val="Tahoma"/>
      <family val="2"/>
    </font>
    <font>
      <sz val="11"/>
      <color indexed="8"/>
      <name val="Calibri"/>
      <family val="2"/>
    </font>
    <font>
      <sz val="9"/>
      <color indexed="8"/>
      <name val="Tahoma"/>
      <family val="2"/>
    </font>
    <font>
      <sz val="9"/>
      <name val="Tahoma"/>
      <family val="2"/>
    </font>
    <font>
      <u/>
      <sz val="14"/>
      <color indexed="55"/>
      <name val="Wingdings"/>
      <charset val="2"/>
    </font>
    <font>
      <sz val="12"/>
      <color indexed="19"/>
      <name val="Wingdings 3"/>
      <family val="1"/>
      <charset val="2"/>
    </font>
    <font>
      <sz val="9"/>
      <color indexed="16"/>
      <name val="tahoma"/>
      <family val="2"/>
    </font>
    <font>
      <b/>
      <sz val="9"/>
      <color indexed="45"/>
      <name val="Tahoma"/>
      <family val="2"/>
    </font>
    <font>
      <u/>
      <sz val="9"/>
      <name val="Tahoma"/>
      <family val="2"/>
    </font>
    <font>
      <b/>
      <sz val="8"/>
      <color indexed="45"/>
      <name val="Tahoma"/>
      <family val="2"/>
    </font>
    <font>
      <sz val="20"/>
      <color indexed="45"/>
      <name val="Wingdings 3"/>
      <family val="1"/>
      <charset val="2"/>
    </font>
    <font>
      <sz val="20"/>
      <color indexed="53"/>
      <name val="Webdings"/>
      <family val="1"/>
      <charset val="2"/>
    </font>
    <font>
      <sz val="20"/>
      <color indexed="53"/>
      <name val="Wingdings 3"/>
      <family val="1"/>
      <charset val="2"/>
    </font>
    <font>
      <sz val="2.5"/>
      <color indexed="8"/>
      <name val="Small Fonts"/>
      <family val="2"/>
    </font>
    <font>
      <b/>
      <sz val="9"/>
      <color indexed="14"/>
      <name val="Wingdings 3"/>
      <family val="1"/>
      <charset val="2"/>
    </font>
    <font>
      <b/>
      <sz val="9"/>
      <name val="Wingdings 3"/>
      <family val="1"/>
      <charset val="2"/>
    </font>
    <font>
      <b/>
      <sz val="9"/>
      <color indexed="9"/>
      <name val="Tahoma"/>
      <family val="2"/>
    </font>
    <font>
      <vertAlign val="subscript"/>
      <sz val="9"/>
      <name val="Tahoma"/>
      <family val="2"/>
    </font>
    <font>
      <sz val="8"/>
      <name val="Tahoma"/>
      <family val="2"/>
    </font>
    <font>
      <sz val="9"/>
      <color indexed="10"/>
      <name val="Tahoma"/>
      <family val="2"/>
    </font>
    <font>
      <sz val="7"/>
      <color indexed="10"/>
      <name val="Small Fonts"/>
      <family val="2"/>
    </font>
    <font>
      <b/>
      <sz val="8"/>
      <color indexed="14"/>
      <name val="Tahoma"/>
      <family val="2"/>
    </font>
    <font>
      <sz val="7"/>
      <color indexed="47"/>
      <name val="Small Fonts"/>
      <family val="2"/>
    </font>
    <font>
      <sz val="7"/>
      <color indexed="14"/>
      <name val="Small Fonts"/>
      <family val="2"/>
    </font>
    <font>
      <u/>
      <sz val="8"/>
      <name val="Tahoma"/>
      <family val="2"/>
    </font>
    <font>
      <sz val="14"/>
      <color indexed="45"/>
      <name val="Webdings"/>
      <family val="1"/>
      <charset val="2"/>
    </font>
    <font>
      <sz val="8"/>
      <color theme="1"/>
      <name val="Arial Narrow"/>
      <family val="2"/>
    </font>
    <font>
      <sz val="11"/>
      <color theme="1"/>
      <name val="Arial Narrow"/>
      <family val="2"/>
    </font>
    <font>
      <sz val="8"/>
      <color rgb="FFFF0000"/>
      <name val="Arial Narrow"/>
      <family val="2"/>
    </font>
    <font>
      <b/>
      <sz val="8"/>
      <color rgb="FF002060"/>
      <name val="Tahoma"/>
      <family val="2"/>
    </font>
    <font>
      <b/>
      <sz val="9"/>
      <color rgb="FF002060"/>
      <name val="Wingdings 3"/>
      <family val="1"/>
      <charset val="2"/>
    </font>
    <font>
      <b/>
      <sz val="9"/>
      <color rgb="FF002060"/>
      <name val="Tahoma"/>
      <family val="2"/>
    </font>
    <font>
      <b/>
      <u/>
      <sz val="8"/>
      <color rgb="FF002060"/>
      <name val="Tahoma"/>
      <family val="2"/>
    </font>
    <font>
      <b/>
      <sz val="8"/>
      <color rgb="FF002060"/>
      <name val="Wingdings 3"/>
      <family val="1"/>
      <charset val="2"/>
    </font>
    <font>
      <b/>
      <sz val="8"/>
      <color indexed="8"/>
      <name val="Tahoma"/>
      <family val="2"/>
    </font>
    <font>
      <b/>
      <sz val="9"/>
      <color theme="0"/>
      <name val="Tahoma"/>
      <family val="2"/>
    </font>
    <font>
      <u/>
      <sz val="11"/>
      <color theme="1"/>
      <name val="Arial Narrow"/>
      <family val="2"/>
    </font>
    <font>
      <u/>
      <sz val="8"/>
      <color theme="1"/>
      <name val="Arial Narrow"/>
      <family val="2"/>
    </font>
    <font>
      <sz val="14"/>
      <color theme="1"/>
      <name val="Arial Narrow"/>
      <family val="2"/>
    </font>
    <font>
      <i/>
      <sz val="9"/>
      <color theme="0" tint="-0.34998626667073579"/>
      <name val="Tahoma"/>
      <family val="2"/>
    </font>
    <font>
      <b/>
      <i/>
      <sz val="9"/>
      <color theme="0" tint="-0.34998626667073579"/>
      <name val="Tahoma"/>
      <family val="2"/>
    </font>
    <font>
      <b/>
      <u/>
      <sz val="8"/>
      <color theme="1"/>
      <name val="Arial Narrow"/>
      <family val="2"/>
    </font>
    <font>
      <b/>
      <u/>
      <sz val="12"/>
      <color theme="1"/>
      <name val="Arial"/>
      <family val="2"/>
    </font>
    <font>
      <b/>
      <sz val="10"/>
      <color indexed="45"/>
      <name val="Tahoma"/>
      <family val="2"/>
    </font>
    <font>
      <b/>
      <sz val="8"/>
      <color theme="0"/>
      <name val="Arial Narrow"/>
      <family val="2"/>
    </font>
    <font>
      <sz val="8"/>
      <color rgb="FFC00000"/>
      <name val="Arial Narrow"/>
      <family val="2"/>
    </font>
    <font>
      <b/>
      <sz val="10"/>
      <color theme="1"/>
      <name val="Tahoma"/>
      <family val="2"/>
    </font>
    <font>
      <u/>
      <sz val="10"/>
      <color indexed="10"/>
      <name val="Arial Narrow"/>
      <family val="2"/>
    </font>
    <font>
      <sz val="11"/>
      <color theme="1"/>
      <name val="Calibri"/>
      <family val="2"/>
      <scheme val="minor"/>
    </font>
    <font>
      <sz val="18"/>
      <color theme="0"/>
      <name val="Tahoma"/>
      <family val="2"/>
    </font>
    <font>
      <sz val="9"/>
      <name val="Tahoma"/>
      <family val="2"/>
    </font>
    <font>
      <sz val="8"/>
      <color indexed="45"/>
      <name val="Tahoma"/>
      <family val="2"/>
    </font>
    <font>
      <sz val="9"/>
      <color rgb="FF00CED1"/>
      <name val="Tahoma"/>
      <family val="2"/>
    </font>
    <font>
      <sz val="9"/>
      <color rgb="FFFF0000"/>
      <name val="Tahoma"/>
      <family val="2"/>
    </font>
    <font>
      <i/>
      <sz val="9"/>
      <color rgb="FFFF0000"/>
      <name val="Tahoma"/>
      <family val="2"/>
    </font>
    <font>
      <b/>
      <sz val="9"/>
      <color indexed="16"/>
      <name val="Tahoma"/>
      <family val="2"/>
    </font>
    <font>
      <sz val="18"/>
      <color indexed="14"/>
      <name val="tahoma"/>
      <family val="2"/>
    </font>
    <font>
      <b/>
      <sz val="8"/>
      <color rgb="FF660066"/>
      <name val="Tahoma"/>
      <family val="2"/>
    </font>
    <font>
      <b/>
      <sz val="9"/>
      <color rgb="FFFF0000"/>
      <name val="Tahoma"/>
      <family val="2"/>
    </font>
    <font>
      <b/>
      <sz val="12"/>
      <color indexed="16"/>
      <name val="Tahoma"/>
      <family val="2"/>
    </font>
    <font>
      <b/>
      <sz val="12"/>
      <color rgb="FF00008F"/>
      <name val="Tahoma"/>
      <family val="2"/>
    </font>
    <font>
      <b/>
      <sz val="12"/>
      <color indexed="14"/>
      <name val="Tahoma"/>
      <family val="2"/>
    </font>
    <font>
      <b/>
      <sz val="9"/>
      <color indexed="45"/>
      <name val="Wingdings 3"/>
      <family val="1"/>
      <charset val="2"/>
    </font>
    <font>
      <b/>
      <u/>
      <sz val="9"/>
      <color indexed="45"/>
      <name val="Tahoma"/>
      <family val="2"/>
    </font>
  </fonts>
  <fills count="21">
    <fill>
      <patternFill patternType="none"/>
    </fill>
    <fill>
      <patternFill patternType="gray125"/>
    </fill>
    <fill>
      <patternFill patternType="solid">
        <fgColor indexed="45"/>
        <bgColor indexed="64"/>
      </patternFill>
    </fill>
    <fill>
      <patternFill patternType="lightGray">
        <fgColor indexed="19"/>
        <bgColor indexed="8"/>
      </patternFill>
    </fill>
    <fill>
      <patternFill patternType="solid">
        <fgColor indexed="8"/>
        <bgColor indexed="64"/>
      </patternFill>
    </fill>
    <fill>
      <patternFill patternType="solid">
        <fgColor indexed="16"/>
        <bgColor indexed="64"/>
      </patternFill>
    </fill>
    <fill>
      <patternFill patternType="mediumGray">
        <fgColor indexed="8"/>
        <bgColor indexed="16"/>
      </patternFill>
    </fill>
    <fill>
      <patternFill patternType="solid">
        <fgColor indexed="47"/>
        <bgColor indexed="64"/>
      </patternFill>
    </fill>
    <fill>
      <patternFill patternType="solid">
        <fgColor indexed="19"/>
        <bgColor indexed="64"/>
      </patternFill>
    </fill>
    <fill>
      <patternFill patternType="solid">
        <fgColor indexed="47"/>
        <bgColor indexed="47"/>
      </patternFill>
    </fill>
    <fill>
      <patternFill patternType="solid">
        <fgColor indexed="43"/>
        <bgColor indexed="64"/>
      </patternFill>
    </fill>
    <fill>
      <patternFill patternType="solid">
        <fgColor indexed="14"/>
        <bgColor indexed="47"/>
      </patternFill>
    </fill>
    <fill>
      <patternFill patternType="solid">
        <fgColor indexed="47"/>
        <bgColor theme="1"/>
      </patternFill>
    </fill>
    <fill>
      <patternFill patternType="solid">
        <fgColor rgb="FFFFFF00"/>
        <bgColor indexed="64"/>
      </patternFill>
    </fill>
    <fill>
      <patternFill patternType="solid">
        <fgColor rgb="FF92D050"/>
        <bgColor indexed="64"/>
      </patternFill>
    </fill>
    <fill>
      <patternFill patternType="solid">
        <fgColor rgb="FF91918C"/>
        <bgColor indexed="64"/>
      </patternFill>
    </fill>
    <fill>
      <patternFill patternType="solid">
        <fgColor rgb="FFFF0000"/>
        <bgColor indexed="64"/>
      </patternFill>
    </fill>
    <fill>
      <patternFill patternType="solid">
        <fgColor theme="0"/>
        <bgColor indexed="64"/>
      </patternFill>
    </fill>
    <fill>
      <patternFill patternType="solid">
        <fgColor indexed="14"/>
        <bgColor indexed="64"/>
      </patternFill>
    </fill>
    <fill>
      <patternFill patternType="solid">
        <fgColor theme="4" tint="0.79998168889431442"/>
        <bgColor indexed="21"/>
      </patternFill>
    </fill>
    <fill>
      <patternFill patternType="solid">
        <fgColor theme="4" tint="0.79998168889431442"/>
        <bgColor indexed="8"/>
      </patternFill>
    </fill>
  </fills>
  <borders count="14">
    <border>
      <left/>
      <right/>
      <top/>
      <bottom/>
      <diagonal/>
    </border>
    <border>
      <left style="double">
        <color indexed="62"/>
      </left>
      <right style="double">
        <color indexed="62"/>
      </right>
      <top style="double">
        <color indexed="62"/>
      </top>
      <bottom style="double">
        <color indexed="62"/>
      </bottom>
      <diagonal/>
    </border>
    <border>
      <left style="medium">
        <color indexed="17"/>
      </left>
      <right style="medium">
        <color indexed="17"/>
      </right>
      <top style="medium">
        <color indexed="17"/>
      </top>
      <bottom style="medium">
        <color indexed="17"/>
      </bottom>
      <diagonal/>
    </border>
    <border>
      <left style="thin">
        <color indexed="9"/>
      </left>
      <right style="thin">
        <color indexed="9"/>
      </right>
      <top style="thin">
        <color indexed="9"/>
      </top>
      <bottom style="thin">
        <color indexed="9"/>
      </bottom>
      <diagonal/>
    </border>
    <border>
      <left/>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0000"/>
      </left>
      <right style="thin">
        <color rgb="FFFF0000"/>
      </right>
      <top style="thin">
        <color rgb="FFFF0000"/>
      </top>
      <bottom style="thin">
        <color rgb="FFFF0000"/>
      </bottom>
      <diagonal/>
    </border>
    <border>
      <left style="thin">
        <color indexed="9"/>
      </left>
      <right style="thin">
        <color indexed="9"/>
      </right>
      <top style="thin">
        <color indexed="9"/>
      </top>
      <bottom/>
      <diagonal/>
    </border>
  </borders>
  <cellStyleXfs count="13">
    <xf numFmtId="0" fontId="0" fillId="0" borderId="0">
      <alignment vertical="center"/>
    </xf>
    <xf numFmtId="0" fontId="5" fillId="2" borderId="1" applyNumberFormat="0" applyFont="0" applyFill="0" applyBorder="0" applyAlignment="0" applyProtection="0">
      <alignment horizontal="center" vertical="center"/>
      <protection hidden="1"/>
    </xf>
    <xf numFmtId="9" fontId="2" fillId="0" borderId="0" applyFont="0" applyFill="0" applyBorder="0" applyAlignment="0" applyProtection="0"/>
    <xf numFmtId="0" fontId="4" fillId="0" borderId="0">
      <alignment vertical="center"/>
    </xf>
    <xf numFmtId="0" fontId="4" fillId="0" borderId="0"/>
    <xf numFmtId="0" fontId="48" fillId="0" borderId="0" applyNumberFormat="0" applyFont="0" applyFill="0" applyBorder="0" applyAlignment="0" applyProtection="0">
      <alignment vertical="top"/>
      <protection locked="0"/>
    </xf>
    <xf numFmtId="0" fontId="49" fillId="0" borderId="0"/>
    <xf numFmtId="0" fontId="3" fillId="0" borderId="0">
      <alignment vertical="center"/>
    </xf>
    <xf numFmtId="0" fontId="49" fillId="0" borderId="0"/>
    <xf numFmtId="0" fontId="3" fillId="0" borderId="0">
      <alignment vertical="center"/>
    </xf>
    <xf numFmtId="0" fontId="51" fillId="0" borderId="0">
      <alignment vertical="center"/>
    </xf>
    <xf numFmtId="0" fontId="49" fillId="0" borderId="0"/>
    <xf numFmtId="0" fontId="5" fillId="2" borderId="1" applyNumberFormat="0" applyFont="0" applyFill="0" applyBorder="0" applyAlignment="0" applyProtection="0">
      <alignment horizontal="center" vertical="center"/>
      <protection hidden="1"/>
    </xf>
  </cellStyleXfs>
  <cellXfs count="132">
    <xf numFmtId="0" fontId="0" fillId="0" borderId="0" xfId="0">
      <alignment vertical="center"/>
    </xf>
    <xf numFmtId="0" fontId="9" fillId="0" borderId="0" xfId="0" applyFont="1">
      <alignment vertical="center"/>
    </xf>
    <xf numFmtId="0" fontId="11" fillId="5" borderId="2" xfId="1" applyFont="1" applyFill="1" applyBorder="1">
      <alignment horizontal="center" vertical="center"/>
      <protection hidden="1"/>
    </xf>
    <xf numFmtId="0" fontId="12" fillId="6" borderId="2" xfId="0" applyFont="1" applyFill="1" applyBorder="1" applyAlignment="1" applyProtection="1">
      <alignment horizontal="center" vertical="center"/>
      <protection hidden="1"/>
    </xf>
    <xf numFmtId="0" fontId="13" fillId="6" borderId="2" xfId="0" applyFont="1" applyFill="1" applyBorder="1" applyAlignment="1" applyProtection="1">
      <alignment horizontal="center" vertical="center"/>
      <protection hidden="1"/>
    </xf>
    <xf numFmtId="0" fontId="15" fillId="0" borderId="0" xfId="0" applyFont="1" applyProtection="1">
      <alignment vertical="center"/>
      <protection hidden="1"/>
    </xf>
    <xf numFmtId="0" fontId="16" fillId="0" borderId="0" xfId="0" applyFont="1" applyProtection="1">
      <alignment vertical="center"/>
      <protection hidden="1"/>
    </xf>
    <xf numFmtId="0" fontId="4" fillId="7" borderId="0" xfId="0" applyFont="1" applyFill="1" applyProtection="1">
      <alignment vertical="center"/>
      <protection hidden="1"/>
    </xf>
    <xf numFmtId="0" fontId="0" fillId="7" borderId="0" xfId="0" applyFill="1" applyProtection="1">
      <alignment vertical="center"/>
      <protection hidden="1"/>
    </xf>
    <xf numFmtId="0" fontId="14" fillId="7" borderId="0" xfId="0" applyFont="1" applyFill="1" applyProtection="1">
      <alignment vertical="center"/>
      <protection hidden="1"/>
    </xf>
    <xf numFmtId="0" fontId="4" fillId="0" borderId="0" xfId="0" applyFont="1" applyProtection="1">
      <alignment vertical="center"/>
      <protection hidden="1"/>
    </xf>
    <xf numFmtId="0" fontId="3" fillId="0" borderId="0" xfId="0" applyFont="1" applyProtection="1">
      <alignment vertical="center"/>
      <protection hidden="1"/>
    </xf>
    <xf numFmtId="0" fontId="4" fillId="0" borderId="0" xfId="0" applyFont="1" applyAlignment="1" applyProtection="1">
      <alignment horizontal="left" vertical="center" indent="1"/>
      <protection hidden="1"/>
    </xf>
    <xf numFmtId="0" fontId="8" fillId="5" borderId="3" xfId="0" applyFont="1" applyFill="1" applyBorder="1" applyAlignment="1" applyProtection="1">
      <alignment horizontal="center" vertical="center"/>
      <protection hidden="1"/>
    </xf>
    <xf numFmtId="164" fontId="17" fillId="5" borderId="3" xfId="0" applyNumberFormat="1" applyFont="1" applyFill="1" applyBorder="1" applyProtection="1">
      <alignment vertical="center"/>
      <protection hidden="1"/>
    </xf>
    <xf numFmtId="0" fontId="20" fillId="0" borderId="0" xfId="0" applyFont="1" applyProtection="1">
      <alignment vertical="center"/>
      <protection hidden="1"/>
    </xf>
    <xf numFmtId="0" fontId="21" fillId="7" borderId="0" xfId="0" applyFont="1" applyFill="1" applyProtection="1">
      <alignment vertical="center"/>
      <protection hidden="1"/>
    </xf>
    <xf numFmtId="0" fontId="22" fillId="0" borderId="0" xfId="0" applyFont="1" applyAlignment="1" applyProtection="1">
      <alignment horizontal="center" vertical="center" wrapText="1"/>
      <protection hidden="1"/>
    </xf>
    <xf numFmtId="0" fontId="19" fillId="0" borderId="0" xfId="0" applyFont="1" applyAlignment="1" applyProtection="1">
      <alignment horizontal="right" vertical="center"/>
      <protection hidden="1"/>
    </xf>
    <xf numFmtId="49" fontId="19" fillId="0" borderId="0" xfId="0" applyNumberFormat="1" applyFont="1" applyAlignment="1" applyProtection="1">
      <alignment horizontal="right" vertical="center"/>
      <protection hidden="1"/>
    </xf>
    <xf numFmtId="0" fontId="23" fillId="7" borderId="0" xfId="0" applyFont="1" applyFill="1" applyProtection="1">
      <alignment vertical="center"/>
      <protection hidden="1"/>
    </xf>
    <xf numFmtId="0" fontId="23" fillId="9" borderId="0" xfId="0" applyFont="1" applyFill="1" applyProtection="1">
      <alignment vertical="center"/>
      <protection hidden="1"/>
    </xf>
    <xf numFmtId="164" fontId="4" fillId="10" borderId="3" xfId="0" applyNumberFormat="1" applyFont="1" applyFill="1" applyBorder="1" applyAlignment="1" applyProtection="1">
      <alignment horizontal="right" vertical="center"/>
      <protection hidden="1"/>
    </xf>
    <xf numFmtId="0" fontId="24" fillId="0" borderId="4" xfId="0" applyFont="1" applyBorder="1" applyAlignment="1" applyProtection="1">
      <alignment horizontal="center" vertical="top"/>
      <protection hidden="1"/>
    </xf>
    <xf numFmtId="0" fontId="24" fillId="0" borderId="0" xfId="0" applyFont="1" applyAlignment="1" applyProtection="1">
      <alignment horizontal="center" vertical="top"/>
      <protection hidden="1"/>
    </xf>
    <xf numFmtId="0" fontId="26" fillId="11" borderId="0" xfId="0" applyFont="1" applyFill="1" applyAlignment="1" applyProtection="1">
      <alignment horizontal="center" vertical="center"/>
      <protection hidden="1"/>
    </xf>
    <xf numFmtId="164" fontId="17" fillId="0" borderId="3" xfId="0" applyNumberFormat="1" applyFont="1" applyBorder="1" applyProtection="1">
      <alignment vertical="center"/>
      <protection hidden="1"/>
    </xf>
    <xf numFmtId="0" fontId="27" fillId="0" borderId="0" xfId="0" applyFont="1" applyProtection="1">
      <alignment vertical="center"/>
      <protection hidden="1"/>
    </xf>
    <xf numFmtId="0" fontId="27" fillId="0" borderId="0" xfId="0" applyFont="1" applyAlignment="1" applyProtection="1">
      <alignment horizontal="right" vertical="center"/>
      <protection hidden="1"/>
    </xf>
    <xf numFmtId="9" fontId="27" fillId="0" borderId="0" xfId="0" applyNumberFormat="1" applyFont="1" applyProtection="1">
      <alignment vertical="center"/>
      <protection hidden="1"/>
    </xf>
    <xf numFmtId="3" fontId="27" fillId="0" borderId="0" xfId="0" applyNumberFormat="1" applyFont="1" applyProtection="1">
      <alignment vertical="center"/>
      <protection hidden="1"/>
    </xf>
    <xf numFmtId="0" fontId="28" fillId="0" borderId="0" xfId="0" applyFont="1" applyProtection="1">
      <alignment vertical="center"/>
      <protection hidden="1"/>
    </xf>
    <xf numFmtId="0" fontId="28" fillId="0" borderId="0" xfId="0" applyFont="1" applyAlignment="1" applyProtection="1">
      <alignment horizontal="right" vertical="center"/>
      <protection hidden="1"/>
    </xf>
    <xf numFmtId="0" fontId="23" fillId="12" borderId="0" xfId="0" applyFont="1" applyFill="1" applyProtection="1">
      <alignment vertical="center"/>
      <protection hidden="1"/>
    </xf>
    <xf numFmtId="164" fontId="8" fillId="8" borderId="3" xfId="2" applyNumberFormat="1" applyFont="1" applyFill="1" applyBorder="1" applyAlignment="1" applyProtection="1">
      <alignment vertical="center"/>
      <protection hidden="1"/>
    </xf>
    <xf numFmtId="9" fontId="8" fillId="8" borderId="3" xfId="2" applyFont="1" applyFill="1" applyBorder="1" applyAlignment="1" applyProtection="1">
      <alignment vertical="center"/>
      <protection hidden="1"/>
    </xf>
    <xf numFmtId="10" fontId="8" fillId="8" borderId="3" xfId="2" applyNumberFormat="1" applyFont="1" applyFill="1" applyBorder="1" applyAlignment="1" applyProtection="1">
      <alignment vertical="center"/>
      <protection hidden="1"/>
    </xf>
    <xf numFmtId="3" fontId="8" fillId="8" borderId="3" xfId="2" applyNumberFormat="1" applyFont="1" applyFill="1" applyBorder="1" applyAlignment="1" applyProtection="1">
      <alignment vertical="center"/>
      <protection hidden="1"/>
    </xf>
    <xf numFmtId="9" fontId="27" fillId="0" borderId="0" xfId="2" applyFont="1" applyAlignment="1" applyProtection="1">
      <alignment vertical="center"/>
      <protection hidden="1"/>
    </xf>
    <xf numFmtId="14" fontId="27" fillId="0" borderId="0" xfId="0" applyNumberFormat="1" applyFont="1" applyProtection="1">
      <alignment vertical="center"/>
      <protection hidden="1"/>
    </xf>
    <xf numFmtId="0" fontId="24" fillId="0" borderId="0" xfId="0" applyFont="1" applyAlignment="1" applyProtection="1">
      <alignment horizontal="right" vertical="center"/>
      <protection hidden="1"/>
    </xf>
    <xf numFmtId="0" fontId="23" fillId="9" borderId="0" xfId="0" applyFont="1" applyFill="1" applyProtection="1">
      <alignment vertical="center"/>
      <protection locked="0" hidden="1"/>
    </xf>
    <xf numFmtId="0" fontId="28" fillId="14" borderId="0" xfId="0" applyFont="1" applyFill="1" applyProtection="1">
      <alignment vertical="center"/>
      <protection hidden="1"/>
    </xf>
    <xf numFmtId="14" fontId="27" fillId="14" borderId="0" xfId="0" applyNumberFormat="1" applyFont="1" applyFill="1" applyProtection="1">
      <alignment vertical="center"/>
      <protection hidden="1"/>
    </xf>
    <xf numFmtId="0" fontId="28" fillId="13" borderId="0" xfId="0" applyFont="1" applyFill="1" applyProtection="1">
      <alignment vertical="center"/>
      <protection locked="0" hidden="1"/>
    </xf>
    <xf numFmtId="0" fontId="29" fillId="0" borderId="0" xfId="0" applyFont="1" applyProtection="1">
      <alignment vertical="center"/>
      <protection hidden="1"/>
    </xf>
    <xf numFmtId="0" fontId="27" fillId="0" borderId="0" xfId="0" applyFont="1" applyFill="1" applyAlignment="1" applyProtection="1">
      <alignment horizontal="right" vertical="center"/>
      <protection hidden="1"/>
    </xf>
    <xf numFmtId="0" fontId="27" fillId="0" borderId="0" xfId="2" applyNumberFormat="1" applyFont="1" applyFill="1" applyAlignment="1" applyProtection="1">
      <alignment vertical="center"/>
      <protection hidden="1"/>
    </xf>
    <xf numFmtId="0" fontId="27" fillId="0" borderId="0" xfId="0" applyNumberFormat="1" applyFont="1" applyFill="1" applyProtection="1">
      <alignment vertical="center"/>
      <protection hidden="1"/>
    </xf>
    <xf numFmtId="0" fontId="26" fillId="11" borderId="0" xfId="0" applyFont="1" applyFill="1" applyBorder="1" applyAlignment="1" applyProtection="1">
      <alignment horizontal="center" vertical="center"/>
      <protection hidden="1"/>
    </xf>
    <xf numFmtId="0" fontId="27" fillId="0" borderId="0" xfId="0" applyFont="1" applyFill="1" applyProtection="1">
      <alignment vertical="center"/>
      <protection hidden="1"/>
    </xf>
    <xf numFmtId="0" fontId="28" fillId="0" borderId="0" xfId="0" applyFont="1" applyFill="1" applyAlignment="1" applyProtection="1">
      <alignment horizontal="right" vertical="center"/>
      <protection hidden="1"/>
    </xf>
    <xf numFmtId="0" fontId="27" fillId="0" borderId="0" xfId="0" quotePrefix="1" applyFont="1" applyFill="1" applyAlignment="1" applyProtection="1">
      <alignment horizontal="right" vertical="center"/>
      <protection hidden="1"/>
    </xf>
    <xf numFmtId="0" fontId="27" fillId="0" borderId="0" xfId="0" applyFont="1" applyAlignment="1" applyProtection="1">
      <alignment horizontal="center" vertical="center"/>
      <protection hidden="1"/>
    </xf>
    <xf numFmtId="0" fontId="38" fillId="0" borderId="0" xfId="0" applyFont="1" applyProtection="1">
      <alignment vertical="center"/>
      <protection hidden="1"/>
    </xf>
    <xf numFmtId="0" fontId="1" fillId="0" borderId="0" xfId="3" applyFont="1" applyFill="1">
      <alignment vertical="center"/>
    </xf>
    <xf numFmtId="0" fontId="1" fillId="0" borderId="0" xfId="3" applyFont="1" applyFill="1" applyAlignment="1">
      <alignment horizontal="right" vertical="center"/>
    </xf>
    <xf numFmtId="14" fontId="27" fillId="0" borderId="0" xfId="0" applyNumberFormat="1" applyFont="1" applyAlignment="1" applyProtection="1">
      <alignment horizontal="right" vertical="center"/>
      <protection hidden="1"/>
    </xf>
    <xf numFmtId="0" fontId="27" fillId="0" borderId="0" xfId="0" quotePrefix="1" applyFont="1" applyAlignment="1" applyProtection="1">
      <alignment horizontal="right" vertical="center"/>
      <protection hidden="1"/>
    </xf>
    <xf numFmtId="0" fontId="27" fillId="0" borderId="0" xfId="0" quotePrefix="1" applyFont="1" applyAlignment="1" applyProtection="1">
      <alignment horizontal="left" vertical="center"/>
      <protection hidden="1"/>
    </xf>
    <xf numFmtId="0" fontId="39" fillId="0" borderId="7" xfId="0" applyFont="1" applyBorder="1" applyProtection="1">
      <alignment vertical="center"/>
      <protection hidden="1"/>
    </xf>
    <xf numFmtId="0" fontId="27" fillId="0" borderId="0" xfId="0" quotePrefix="1" applyFont="1" applyAlignment="1" applyProtection="1">
      <alignment horizontal="center" vertical="center"/>
      <protection hidden="1"/>
    </xf>
    <xf numFmtId="0" fontId="39" fillId="0" borderId="0" xfId="0" applyFont="1" applyBorder="1" applyProtection="1">
      <alignment vertical="center"/>
      <protection hidden="1"/>
    </xf>
    <xf numFmtId="0" fontId="4" fillId="0" borderId="0" xfId="0" quotePrefix="1" applyFont="1" applyAlignment="1" applyProtection="1">
      <alignment horizontal="left" vertical="center" indent="1"/>
      <protection hidden="1"/>
    </xf>
    <xf numFmtId="0" fontId="4" fillId="0" borderId="0" xfId="0" applyFont="1" applyAlignment="1" applyProtection="1">
      <alignment horizontal="left" vertical="center" indent="2"/>
      <protection hidden="1"/>
    </xf>
    <xf numFmtId="9" fontId="27" fillId="0" borderId="0" xfId="0" applyNumberFormat="1" applyFont="1" applyFill="1" applyProtection="1">
      <alignment vertical="center"/>
      <protection hidden="1"/>
    </xf>
    <xf numFmtId="0" fontId="38" fillId="0" borderId="0" xfId="0" applyFont="1" applyFill="1" applyProtection="1">
      <alignment vertical="center"/>
      <protection hidden="1"/>
    </xf>
    <xf numFmtId="3" fontId="27" fillId="0" borderId="8" xfId="0" applyNumberFormat="1" applyFont="1" applyFill="1" applyBorder="1" applyProtection="1">
      <alignment vertical="center"/>
      <protection hidden="1"/>
    </xf>
    <xf numFmtId="9" fontId="27" fillId="0" borderId="0" xfId="2" applyFont="1" applyFill="1" applyAlignment="1" applyProtection="1">
      <alignment vertical="center"/>
      <protection hidden="1"/>
    </xf>
    <xf numFmtId="0" fontId="4" fillId="0" borderId="0" xfId="0" applyFont="1" applyAlignment="1">
      <alignment horizontal="left" vertical="center"/>
    </xf>
    <xf numFmtId="0" fontId="0" fillId="0" borderId="8" xfId="0" applyBorder="1">
      <alignment vertical="center"/>
    </xf>
    <xf numFmtId="0" fontId="43" fillId="0" borderId="0" xfId="0" applyFont="1" applyFill="1" applyProtection="1">
      <alignment vertical="center"/>
      <protection hidden="1"/>
    </xf>
    <xf numFmtId="165" fontId="4" fillId="10" borderId="3" xfId="2" applyNumberFormat="1" applyFont="1" applyFill="1" applyBorder="1" applyAlignment="1" applyProtection="1">
      <alignment horizontal="center" vertical="center"/>
      <protection hidden="1"/>
    </xf>
    <xf numFmtId="165" fontId="4" fillId="10" borderId="0" xfId="2" applyNumberFormat="1" applyFont="1" applyFill="1" applyBorder="1" applyAlignment="1" applyProtection="1">
      <alignment horizontal="center" vertical="center"/>
      <protection hidden="1"/>
    </xf>
    <xf numFmtId="0" fontId="42" fillId="0" borderId="0" xfId="0" applyFont="1" applyFill="1" applyAlignment="1" applyProtection="1">
      <alignment horizontal="center" vertical="center"/>
      <protection hidden="1"/>
    </xf>
    <xf numFmtId="0" fontId="19" fillId="13" borderId="0" xfId="0" applyFont="1" applyFill="1" applyAlignment="1" applyProtection="1">
      <protection locked="0" hidden="1"/>
    </xf>
    <xf numFmtId="0" fontId="19" fillId="0" borderId="0" xfId="0" applyFont="1" applyAlignment="1" applyProtection="1">
      <alignment horizontal="left"/>
      <protection hidden="1"/>
    </xf>
    <xf numFmtId="0" fontId="19" fillId="0" borderId="0" xfId="0" applyFont="1" applyAlignment="1" applyProtection="1">
      <protection hidden="1"/>
    </xf>
    <xf numFmtId="0" fontId="19" fillId="0" borderId="0" xfId="0" applyFont="1" applyAlignment="1" applyProtection="1">
      <alignment horizontal="left" indent="1"/>
      <protection hidden="1"/>
    </xf>
    <xf numFmtId="0" fontId="45" fillId="16" borderId="0" xfId="0" applyNumberFormat="1" applyFont="1" applyFill="1" applyProtection="1">
      <alignment vertical="center"/>
      <protection hidden="1"/>
    </xf>
    <xf numFmtId="0" fontId="46" fillId="0" borderId="0" xfId="0" applyFont="1" applyFill="1" applyProtection="1">
      <alignment vertical="center"/>
      <protection hidden="1"/>
    </xf>
    <xf numFmtId="0" fontId="25" fillId="0" borderId="0" xfId="0" applyFont="1" applyAlignment="1" applyProtection="1">
      <alignment horizontal="right"/>
      <protection hidden="1"/>
    </xf>
    <xf numFmtId="10" fontId="47" fillId="0" borderId="0" xfId="0" applyNumberFormat="1" applyFont="1" applyFill="1" applyAlignment="1" applyProtection="1">
      <protection hidden="1"/>
    </xf>
    <xf numFmtId="10" fontId="27" fillId="0" borderId="0" xfId="0" applyNumberFormat="1" applyFont="1" applyFill="1" applyProtection="1">
      <alignment vertical="center"/>
      <protection hidden="1"/>
    </xf>
    <xf numFmtId="10" fontId="27" fillId="0" borderId="0" xfId="0" applyNumberFormat="1" applyFont="1" applyAlignment="1" applyProtection="1">
      <alignment horizontal="center" vertical="center"/>
      <protection hidden="1"/>
    </xf>
    <xf numFmtId="168" fontId="28" fillId="0" borderId="0" xfId="0" applyNumberFormat="1" applyFont="1" applyAlignment="1" applyProtection="1">
      <alignment horizontal="right" vertical="center"/>
      <protection hidden="1"/>
    </xf>
    <xf numFmtId="0" fontId="27" fillId="0" borderId="0" xfId="0" applyFont="1" applyFill="1" applyAlignment="1" applyProtection="1">
      <alignment horizontal="left" vertical="center"/>
      <protection hidden="1"/>
    </xf>
    <xf numFmtId="0" fontId="47" fillId="0" borderId="0" xfId="0" applyNumberFormat="1" applyFont="1" applyFill="1" applyAlignment="1" applyProtection="1">
      <protection hidden="1"/>
    </xf>
    <xf numFmtId="169" fontId="47" fillId="0" borderId="0" xfId="0" applyNumberFormat="1" applyFont="1" applyFill="1" applyAlignment="1" applyProtection="1">
      <protection hidden="1"/>
    </xf>
    <xf numFmtId="169" fontId="45" fillId="16" borderId="0" xfId="0" applyNumberFormat="1" applyFont="1" applyFill="1" applyProtection="1">
      <alignment vertical="center"/>
      <protection hidden="1"/>
    </xf>
    <xf numFmtId="0" fontId="0" fillId="0" borderId="0" xfId="0" applyFill="1" applyBorder="1" applyAlignment="1">
      <alignment vertical="center"/>
    </xf>
    <xf numFmtId="0" fontId="53" fillId="0" borderId="0" xfId="6" applyFont="1" applyAlignment="1">
      <alignment horizontal="right"/>
    </xf>
    <xf numFmtId="0" fontId="17" fillId="16" borderId="3" xfId="0" applyFont="1" applyFill="1" applyBorder="1" applyAlignment="1" applyProtection="1">
      <alignment horizontal="right" vertical="center"/>
      <protection locked="0" hidden="1"/>
    </xf>
    <xf numFmtId="0" fontId="17" fillId="16" borderId="6" xfId="0" applyFont="1" applyFill="1" applyBorder="1" applyAlignment="1" applyProtection="1">
      <alignment horizontal="right" vertical="center"/>
      <protection locked="0" hidden="1"/>
    </xf>
    <xf numFmtId="0" fontId="17" fillId="16" borderId="3" xfId="0" applyFont="1" applyFill="1" applyBorder="1" applyAlignment="1" applyProtection="1">
      <alignment horizontal="right" vertical="center"/>
      <protection hidden="1"/>
    </xf>
    <xf numFmtId="164" fontId="17" fillId="16" borderId="3" xfId="0" applyNumberFormat="1" applyFont="1" applyFill="1" applyBorder="1" applyProtection="1">
      <alignment vertical="center"/>
      <protection locked="0" hidden="1"/>
    </xf>
    <xf numFmtId="166" fontId="17" fillId="16" borderId="3" xfId="0" applyNumberFormat="1" applyFont="1" applyFill="1" applyBorder="1" applyProtection="1">
      <alignment vertical="center"/>
      <protection hidden="1"/>
    </xf>
    <xf numFmtId="0" fontId="4" fillId="16" borderId="0" xfId="0" applyFont="1" applyFill="1" applyAlignment="1" applyProtection="1">
      <alignment horizontal="left" vertical="center" indent="1"/>
      <protection hidden="1"/>
    </xf>
    <xf numFmtId="0" fontId="55" fillId="0" borderId="0" xfId="0" applyFont="1" applyAlignment="1" applyProtection="1">
      <alignment horizontal="center" vertical="center"/>
      <protection hidden="1"/>
    </xf>
    <xf numFmtId="164" fontId="17" fillId="16" borderId="3" xfId="0" applyNumberFormat="1" applyFont="1" applyFill="1" applyBorder="1" applyProtection="1">
      <alignment vertical="center"/>
      <protection locked="0"/>
    </xf>
    <xf numFmtId="0" fontId="50" fillId="17" borderId="0" xfId="0" applyFont="1" applyFill="1" applyAlignment="1" applyProtection="1">
      <alignment horizontal="center" vertical="center"/>
      <protection hidden="1"/>
    </xf>
    <xf numFmtId="0" fontId="57" fillId="0" borderId="0" xfId="0" applyFont="1" applyAlignment="1" applyProtection="1">
      <alignment horizontal="left" vertical="center" indent="2"/>
      <protection hidden="1"/>
    </xf>
    <xf numFmtId="0" fontId="4" fillId="0" borderId="12" xfId="0" applyFont="1" applyBorder="1" applyAlignment="1" applyProtection="1">
      <alignment horizontal="center" vertical="center"/>
      <protection hidden="1"/>
    </xf>
    <xf numFmtId="167" fontId="44" fillId="16" borderId="0" xfId="0" applyNumberFormat="1" applyFont="1" applyFill="1" applyBorder="1" applyAlignment="1" applyProtection="1">
      <alignment horizontal="right" vertical="center"/>
      <protection hidden="1"/>
    </xf>
    <xf numFmtId="0" fontId="7" fillId="3" borderId="0" xfId="0" applyFont="1" applyFill="1">
      <alignment vertical="center"/>
    </xf>
    <xf numFmtId="0" fontId="0" fillId="4" borderId="0" xfId="0" applyFill="1">
      <alignment vertical="center"/>
    </xf>
    <xf numFmtId="0" fontId="58" fillId="0" borderId="0" xfId="0" applyFont="1" applyAlignment="1" applyProtection="1">
      <alignment horizontal="left" vertical="center"/>
      <protection hidden="1"/>
    </xf>
    <xf numFmtId="0" fontId="0" fillId="17" borderId="0" xfId="0" applyFill="1">
      <alignment vertical="center"/>
    </xf>
    <xf numFmtId="0" fontId="59" fillId="0" borderId="0" xfId="0" applyFont="1" applyAlignment="1">
      <alignment horizontal="right"/>
    </xf>
    <xf numFmtId="0" fontId="60" fillId="0" borderId="0" xfId="0" applyFont="1" applyAlignment="1">
      <alignment horizontal="left" vertical="top" indent="3"/>
    </xf>
    <xf numFmtId="0" fontId="62" fillId="0" borderId="0" xfId="0" applyFont="1" applyAlignment="1">
      <alignment horizontal="left" vertical="top" indent="3"/>
    </xf>
    <xf numFmtId="0" fontId="62" fillId="0" borderId="0" xfId="7" applyFont="1" applyFill="1" applyBorder="1" applyAlignment="1">
      <alignment vertical="top"/>
    </xf>
    <xf numFmtId="0" fontId="6" fillId="0" borderId="0" xfId="0" applyFont="1" applyAlignment="1">
      <alignment vertical="top"/>
    </xf>
    <xf numFmtId="0" fontId="0" fillId="0" borderId="0" xfId="0" applyAlignment="1" applyProtection="1">
      <alignment vertical="center"/>
      <protection hidden="1"/>
    </xf>
    <xf numFmtId="3" fontId="8" fillId="8" borderId="3" xfId="0" applyNumberFormat="1" applyFont="1" applyFill="1" applyBorder="1" applyProtection="1">
      <alignment vertical="center"/>
      <protection hidden="1"/>
    </xf>
    <xf numFmtId="165" fontId="4" fillId="10" borderId="13" xfId="2" applyNumberFormat="1" applyFont="1" applyFill="1" applyBorder="1" applyAlignment="1" applyProtection="1">
      <alignment horizontal="center" vertical="center"/>
      <protection hidden="1"/>
    </xf>
    <xf numFmtId="0" fontId="61" fillId="0" borderId="0" xfId="0" applyFont="1" applyFill="1" applyBorder="1" applyAlignment="1">
      <alignment horizontal="left" vertical="top" wrapText="1"/>
    </xf>
    <xf numFmtId="0" fontId="60" fillId="0" borderId="0" xfId="0" applyFont="1" applyFill="1" applyBorder="1" applyAlignment="1">
      <alignment horizontal="left" vertical="top" wrapText="1"/>
    </xf>
    <xf numFmtId="0" fontId="63" fillId="18" borderId="0" xfId="1" applyFont="1" applyFill="1" applyBorder="1" applyAlignment="1" applyProtection="1">
      <alignment horizontal="left" vertical="center" indent="1"/>
    </xf>
    <xf numFmtId="0" fontId="30" fillId="19" borderId="0" xfId="1" applyFont="1" applyFill="1" applyBorder="1" applyAlignment="1" applyProtection="1">
      <alignment horizontal="left" vertical="center" wrapText="1"/>
    </xf>
    <xf numFmtId="0" fontId="31" fillId="20" borderId="0" xfId="0" applyFont="1" applyFill="1" applyBorder="1" applyAlignment="1" applyProtection="1">
      <alignment horizontal="left" vertical="center" indent="1"/>
    </xf>
    <xf numFmtId="0" fontId="34" fillId="20" borderId="0" xfId="0" applyFont="1" applyFill="1" applyBorder="1" applyAlignment="1" applyProtection="1">
      <alignment horizontal="left" vertical="center" indent="1"/>
    </xf>
    <xf numFmtId="164" fontId="17" fillId="5" borderId="5" xfId="0" applyNumberFormat="1" applyFont="1" applyFill="1" applyBorder="1" applyAlignment="1" applyProtection="1">
      <alignment horizontal="center" vertical="center"/>
      <protection hidden="1"/>
    </xf>
    <xf numFmtId="164" fontId="17" fillId="5" borderId="6" xfId="0" applyNumberFormat="1" applyFont="1" applyFill="1" applyBorder="1" applyAlignment="1" applyProtection="1">
      <alignment horizontal="center" vertical="center"/>
      <protection hidden="1"/>
    </xf>
    <xf numFmtId="164" fontId="36" fillId="15" borderId="5" xfId="0" applyNumberFormat="1" applyFont="1" applyFill="1" applyBorder="1" applyAlignment="1" applyProtection="1">
      <alignment horizontal="center" vertical="center"/>
      <protection hidden="1"/>
    </xf>
    <xf numFmtId="164" fontId="36" fillId="15" borderId="6" xfId="0" applyNumberFormat="1" applyFont="1" applyFill="1" applyBorder="1" applyAlignment="1" applyProtection="1">
      <alignment horizontal="center" vertical="center"/>
      <protection hidden="1"/>
    </xf>
    <xf numFmtId="0" fontId="40" fillId="0" borderId="0" xfId="0" applyFont="1" applyAlignment="1" applyProtection="1">
      <alignment horizontal="center" vertical="center"/>
      <protection hidden="1"/>
    </xf>
    <xf numFmtId="0" fontId="37" fillId="0" borderId="0" xfId="0" applyFont="1" applyAlignment="1" applyProtection="1">
      <alignment horizontal="center" vertical="center"/>
      <protection hidden="1"/>
    </xf>
    <xf numFmtId="0" fontId="42" fillId="0" borderId="0" xfId="0" applyFont="1" applyFill="1" applyAlignment="1" applyProtection="1">
      <alignment horizontal="center" vertical="center"/>
      <protection hidden="1"/>
    </xf>
    <xf numFmtId="0" fontId="27" fillId="0" borderId="9" xfId="0" applyFont="1" applyBorder="1" applyAlignment="1" applyProtection="1">
      <alignment horizontal="center" vertical="center"/>
      <protection hidden="1"/>
    </xf>
    <xf numFmtId="0" fontId="27" fillId="0" borderId="10" xfId="0" applyFont="1" applyBorder="1" applyAlignment="1" applyProtection="1">
      <alignment horizontal="center" vertical="center"/>
      <protection hidden="1"/>
    </xf>
    <xf numFmtId="0" fontId="27" fillId="0" borderId="11" xfId="0" applyFont="1" applyBorder="1" applyAlignment="1" applyProtection="1">
      <alignment horizontal="center" vertical="center"/>
      <protection hidden="1"/>
    </xf>
  </cellXfs>
  <cellStyles count="13">
    <cellStyle name="Hyperlink" xfId="1" builtinId="8"/>
    <cellStyle name="Hyperlink 2" xfId="5" xr:uid="{00000000-0005-0000-0000-000001000000}"/>
    <cellStyle name="Hyperlink 2 2 2" xfId="12" xr:uid="{00000000-0005-0000-0000-000002000000}"/>
    <cellStyle name="Normal" xfId="0" builtinId="0"/>
    <cellStyle name="Normal 2" xfId="6" xr:uid="{00000000-0005-0000-0000-000004000000}"/>
    <cellStyle name="Normal 2 2" xfId="7" xr:uid="{00000000-0005-0000-0000-000005000000}"/>
    <cellStyle name="Normal 2 2 2" xfId="8" xr:uid="{00000000-0005-0000-0000-000006000000}"/>
    <cellStyle name="Normal 2 2 2 2" xfId="9" xr:uid="{00000000-0005-0000-0000-000007000000}"/>
    <cellStyle name="Normal 2 3" xfId="11" xr:uid="{00000000-0005-0000-0000-000008000000}"/>
    <cellStyle name="Normal 4" xfId="3" xr:uid="{00000000-0005-0000-0000-000009000000}"/>
    <cellStyle name="Normal 5" xfId="4" xr:uid="{00000000-0005-0000-0000-00000A000000}"/>
    <cellStyle name="Normal 6" xfId="10" xr:uid="{00000000-0005-0000-0000-00000B000000}"/>
    <cellStyle name="Percent 2" xfId="2" xr:uid="{00000000-0005-0000-0000-00000C000000}"/>
  </cellStyles>
  <dxfs count="12">
    <dxf>
      <font>
        <condense val="0"/>
        <extend val="0"/>
        <color indexed="13"/>
      </font>
    </dxf>
    <dxf>
      <font>
        <condense val="0"/>
        <extend val="0"/>
        <color indexed="13"/>
      </font>
    </dxf>
    <dxf>
      <font>
        <condense val="0"/>
        <extend val="0"/>
        <color indexed="13"/>
      </font>
    </dxf>
    <dxf>
      <font>
        <condense val="0"/>
        <extend val="0"/>
        <color indexed="13"/>
      </font>
    </dxf>
    <dxf>
      <fill>
        <patternFill patternType="gray125"/>
      </fill>
      <border>
        <left/>
        <right/>
        <top/>
        <bottom/>
      </border>
    </dxf>
    <dxf>
      <font>
        <condense val="0"/>
        <extend val="0"/>
        <color indexed="53"/>
      </font>
      <fill>
        <patternFill>
          <bgColor indexed="53"/>
        </patternFill>
      </fill>
    </dxf>
    <dxf>
      <font>
        <color theme="0"/>
      </font>
      <fill>
        <patternFill patternType="none">
          <bgColor auto="1"/>
        </patternFill>
      </fill>
    </dxf>
    <dxf>
      <font>
        <condense val="0"/>
        <extend val="0"/>
        <color indexed="53"/>
      </font>
      <fill>
        <patternFill>
          <bgColor indexed="53"/>
        </patternFill>
      </fill>
    </dxf>
    <dxf>
      <font>
        <color theme="0" tint="-0.24994659260841701"/>
      </font>
      <fill>
        <patternFill patternType="gray125">
          <bgColor theme="0" tint="-0.24994659260841701"/>
        </patternFill>
      </fill>
    </dxf>
    <dxf>
      <font>
        <condense val="0"/>
        <extend val="0"/>
        <color indexed="53"/>
      </font>
    </dxf>
    <dxf>
      <font>
        <condense val="0"/>
        <extend val="0"/>
        <color indexed="53"/>
      </font>
    </dxf>
    <dxf>
      <font>
        <condense val="0"/>
        <extend val="0"/>
        <color indexed="53"/>
      </font>
      <fill>
        <patternFill>
          <bgColor indexed="5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10000"/>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969696"/>
      <rgbColor rgb="00EAEAEA"/>
      <rgbColor rgb="00010000"/>
      <rgbColor rgb="00010000"/>
      <rgbColor rgb="00000000"/>
      <rgbColor rgb="00297527"/>
      <rgbColor rgb="00B1C8A6"/>
      <rgbColor rgb="00CDCDCD"/>
      <rgbColor rgb="00010000"/>
      <rgbColor rgb="00969696"/>
      <rgbColor rgb="00010000"/>
      <rgbColor rgb="00010000"/>
      <rgbColor rgb="00010000"/>
      <rgbColor rgb="00000000"/>
      <rgbColor rgb="00000000"/>
      <rgbColor rgb="00010000"/>
      <rgbColor rgb="00010000"/>
      <rgbColor rgb="00333333"/>
    </indexedColors>
    <mruColors>
      <color rgb="FF00CED1"/>
      <color rgb="FF4B0082"/>
      <color rgb="FF00CED0"/>
      <color rgb="FF5F5F5A"/>
      <color rgb="FF91918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12" dropStyle="combo" dx="22" fmlaLink="calc!$C$10" fmlaRange="calc!$D$11:$D$22" sel="1" val="0"/>
</file>

<file path=xl/ctrlProps/ctrlProp10.xml><?xml version="1.0" encoding="utf-8"?>
<formControlPr xmlns="http://schemas.microsoft.com/office/spreadsheetml/2009/9/main" objectType="Scroll" dx="15" fmlaLink="calc!$C$49" horiz="1" max="1926" min="467" page="30" val="1562"/>
</file>

<file path=xl/ctrlProps/ctrlProp11.xml><?xml version="1.0" encoding="utf-8"?>
<formControlPr xmlns="http://schemas.microsoft.com/office/spreadsheetml/2009/9/main" objectType="Drop" dropLines="4" dropStyle="combo" dx="22" fmlaLink="calc!$K$32" fmlaRange="calc!$L$33:$L$36" sel="1" val="0"/>
</file>

<file path=xl/ctrlProps/ctrlProp2.xml><?xml version="1.0" encoding="utf-8"?>
<formControlPr xmlns="http://schemas.microsoft.com/office/spreadsheetml/2009/9/main" objectType="Drop" dropStyle="combo" dx="22" fmlaLink="calc!$C$33" fmlaRange="calc!$D$34:$D$41" sel="8" val="0"/>
</file>

<file path=xl/ctrlProps/ctrlProp3.xml><?xml version="1.0" encoding="utf-8"?>
<formControlPr xmlns="http://schemas.microsoft.com/office/spreadsheetml/2009/9/main" objectType="Drop" dropLines="2" dropStyle="combo" dx="22" fmlaLink="calc!$C$44" fmlaRange="calc!$D$45:$D$46" sel="1" val="0"/>
</file>

<file path=xl/ctrlProps/ctrlProp4.xml><?xml version="1.0" encoding="utf-8"?>
<formControlPr xmlns="http://schemas.microsoft.com/office/spreadsheetml/2009/9/main" objectType="Drop" dropLines="31" dropStyle="combo" dx="22" fmlaLink="calc!$E$9" fmlaRange="Dagen_invulveld" sel="1" val="0"/>
</file>

<file path=xl/ctrlProps/ctrlProp5.xml><?xml version="1.0" encoding="utf-8"?>
<formControlPr xmlns="http://schemas.microsoft.com/office/spreadsheetml/2009/9/main" objectType="Scroll" dx="15" fmlaLink="calc!$D$3" horiz="1" max="366" min="1" page="30"/>
</file>

<file path=xl/ctrlProps/ctrlProp6.xml><?xml version="1.0" encoding="utf-8"?>
<formControlPr xmlns="http://schemas.microsoft.com/office/spreadsheetml/2009/9/main" objectType="CheckBox" fmlaLink="'1'!$G$15" lockText="1"/>
</file>

<file path=xl/ctrlProps/ctrlProp7.xml><?xml version="1.0" encoding="utf-8"?>
<formControlPr xmlns="http://schemas.microsoft.com/office/spreadsheetml/2009/9/main" objectType="CheckBox" fmlaLink="$H$8" lockText="1"/>
</file>

<file path=xl/ctrlProps/ctrlProp8.xml><?xml version="1.0" encoding="utf-8"?>
<formControlPr xmlns="http://schemas.microsoft.com/office/spreadsheetml/2009/9/main" objectType="Scroll" dx="15" fmlaLink="calc!$C$3" horiz="1" max="2922" page="30" val="0"/>
</file>

<file path=xl/ctrlProps/ctrlProp9.xml><?xml version="1.0" encoding="utf-8"?>
<formControlPr xmlns="http://schemas.microsoft.com/office/spreadsheetml/2009/9/main" objectType="Drop" dropLines="2" dropStyle="combo" dx="22" fmlaLink="calc!$G$4" fmlaRange="Aanschafjaar" sel="2"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25</xdr:row>
      <xdr:rowOff>0</xdr:rowOff>
    </xdr:to>
    <xdr:sp macro="" textlink="">
      <xdr:nvSpPr>
        <xdr:cNvPr id="2" name="Rectangle 1" descr="50%">
          <a:extLst>
            <a:ext uri="{FF2B5EF4-FFF2-40B4-BE49-F238E27FC236}">
              <a16:creationId xmlns:a16="http://schemas.microsoft.com/office/drawing/2014/main" id="{00000000-0008-0000-0000-000002000000}"/>
            </a:ext>
          </a:extLst>
        </xdr:cNvPr>
        <xdr:cNvSpPr>
          <a:spLocks noChangeArrowheads="1"/>
        </xdr:cNvSpPr>
      </xdr:nvSpPr>
      <xdr:spPr bwMode="auto">
        <a:xfrm>
          <a:off x="381000" y="247650"/>
          <a:ext cx="6838950" cy="7219950"/>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prstShdw>
        </a:effectLst>
        <a:extLst>
          <a:ext uri="{909E8E84-426E-40DD-AFC4-6F175D3DCCD1}">
            <a14:hiddenFill xmlns:a14="http://schemas.microsoft.com/office/drawing/2010/main">
              <a:blipFill dpi="0" rotWithShape="0">
                <a:blip xmlns:r="http://schemas.openxmlformats.org/officeDocument/2006/relationships" r:embed="rId1"/>
                <a:srcRect/>
                <a:tile tx="0" ty="0" sx="100000" sy="100000" flip="none" algn="tl"/>
              </a:blipFill>
            </a14:hiddenFill>
          </a:ext>
        </a:extLst>
      </xdr:spPr>
    </xdr:sp>
    <xdr:clientData fPrintsWithSheet="0"/>
  </xdr:twoCellAnchor>
  <xdr:twoCellAnchor>
    <xdr:from>
      <xdr:col>2</xdr:col>
      <xdr:colOff>0</xdr:colOff>
      <xdr:row>6</xdr:row>
      <xdr:rowOff>0</xdr:rowOff>
    </xdr:from>
    <xdr:to>
      <xdr:col>18</xdr:col>
      <xdr:colOff>0</xdr:colOff>
      <xdr:row>12</xdr:row>
      <xdr:rowOff>0</xdr:rowOff>
    </xdr:to>
    <xdr:sp macro="" textlink="">
      <xdr:nvSpPr>
        <xdr:cNvPr id="3" name="Text Box 8">
          <a:extLst>
            <a:ext uri="{FF2B5EF4-FFF2-40B4-BE49-F238E27FC236}">
              <a16:creationId xmlns:a16="http://schemas.microsoft.com/office/drawing/2014/main" id="{00000000-0008-0000-0000-000003000000}"/>
            </a:ext>
          </a:extLst>
        </xdr:cNvPr>
        <xdr:cNvSpPr txBox="1">
          <a:spLocks noChangeArrowheads="1"/>
        </xdr:cNvSpPr>
      </xdr:nvSpPr>
      <xdr:spPr bwMode="auto">
        <a:xfrm>
          <a:off x="561975" y="2762250"/>
          <a:ext cx="6477000" cy="148590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r>
            <a:rPr lang="fr-FR" sz="1200">
              <a:effectLst/>
              <a:latin typeface="Tahoma" panose="020B0604030504040204" pitchFamily="34" charset="0"/>
              <a:ea typeface="Tahoma" panose="020B0604030504040204" pitchFamily="34" charset="0"/>
              <a:cs typeface="Tahoma" panose="020B0604030504040204" pitchFamily="34" charset="0"/>
            </a:rPr>
            <a:t>Pour le calcul de l'avantage de toute nature voiture, il faut tenir compte non seulement de l'émission de CO2 mais aussi de la valeur catalogue de la voiture. Cette valeur catalogue est égale à la valeur facturée, TVA et options comprises, les remises n'étant pas prises en compte. </a:t>
          </a:r>
          <a:endParaRPr lang="en-GB" sz="1200">
            <a:effectLst/>
            <a:latin typeface="Tahoma" panose="020B0604030504040204" pitchFamily="34" charset="0"/>
            <a:ea typeface="Tahoma" panose="020B0604030504040204" pitchFamily="34" charset="0"/>
            <a:cs typeface="Tahoma" panose="020B0604030504040204" pitchFamily="34" charset="0"/>
          </a:endParaRPr>
        </a:p>
        <a:p>
          <a:r>
            <a:rPr lang="fr-FR" sz="1200">
              <a:effectLst/>
              <a:latin typeface="Tahoma" panose="020B0604030504040204" pitchFamily="34" charset="0"/>
              <a:ea typeface="Tahoma" panose="020B0604030504040204" pitchFamily="34" charset="0"/>
              <a:cs typeface="Tahoma" panose="020B0604030504040204" pitchFamily="34" charset="0"/>
            </a:rPr>
            <a:t>Depuis le 01.01.2017, si la société prend également en charge les frais de carburant pour un usage privé, ce n'est pas 17 %, mais 40 % de l'avantage voiture gratuite calculé qui est ajouté à ses dépenses non admises.</a:t>
          </a:r>
          <a:endParaRPr lang="en-GB" sz="1200">
            <a:effectLst/>
            <a:latin typeface="Tahoma" panose="020B0604030504040204" pitchFamily="34" charset="0"/>
            <a:ea typeface="Tahoma" panose="020B0604030504040204" pitchFamily="34" charset="0"/>
            <a:cs typeface="Tahoma" panose="020B0604030504040204" pitchFamily="34" charset="0"/>
          </a:endParaRPr>
        </a:p>
        <a:p>
          <a:pPr algn="l" rtl="0">
            <a:lnSpc>
              <a:spcPts val="1100"/>
            </a:lnSpc>
            <a:defRPr sz="1000"/>
          </a:pPr>
          <a:endParaRPr lang="nl-NL" sz="1200" b="0" i="0" u="none" strike="noStrike" baseline="0">
            <a:solidFill>
              <a:srgbClr val="000000"/>
            </a:solidFill>
            <a:latin typeface="Tahoma"/>
            <a:ea typeface="Tahoma"/>
            <a:cs typeface="Tahoma"/>
          </a:endParaRPr>
        </a:p>
      </xdr:txBody>
    </xdr:sp>
    <xdr:clientData/>
  </xdr:twoCellAnchor>
  <xdr:twoCellAnchor>
    <xdr:from>
      <xdr:col>15</xdr:col>
      <xdr:colOff>0</xdr:colOff>
      <xdr:row>17</xdr:row>
      <xdr:rowOff>0</xdr:rowOff>
    </xdr:from>
    <xdr:to>
      <xdr:col>17</xdr:col>
      <xdr:colOff>0</xdr:colOff>
      <xdr:row>18</xdr:row>
      <xdr:rowOff>0</xdr:rowOff>
    </xdr:to>
    <xdr:grpSp>
      <xdr:nvGrpSpPr>
        <xdr:cNvPr id="4" name="Group 9">
          <a:extLst>
            <a:ext uri="{FF2B5EF4-FFF2-40B4-BE49-F238E27FC236}">
              <a16:creationId xmlns:a16="http://schemas.microsoft.com/office/drawing/2014/main" id="{00000000-0008-0000-0000-000004000000}"/>
            </a:ext>
          </a:extLst>
        </xdr:cNvPr>
        <xdr:cNvGrpSpPr>
          <a:grpSpLocks/>
        </xdr:cNvGrpSpPr>
      </xdr:nvGrpSpPr>
      <xdr:grpSpPr bwMode="auto">
        <a:xfrm>
          <a:off x="5514975" y="5486400"/>
          <a:ext cx="971550" cy="247650"/>
          <a:chOff x="878" y="692"/>
          <a:chExt cx="40" cy="52"/>
        </a:xfrm>
      </xdr:grpSpPr>
      <xdr:sp macro="" textlink="">
        <xdr:nvSpPr>
          <xdr:cNvPr id="5" name="Line 10">
            <a:extLst>
              <a:ext uri="{FF2B5EF4-FFF2-40B4-BE49-F238E27FC236}">
                <a16:creationId xmlns:a16="http://schemas.microsoft.com/office/drawing/2014/main" id="{00000000-0008-0000-0000-000005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6" name="Line 11">
            <a:extLst>
              <a:ext uri="{FF2B5EF4-FFF2-40B4-BE49-F238E27FC236}">
                <a16:creationId xmlns:a16="http://schemas.microsoft.com/office/drawing/2014/main" id="{00000000-0008-0000-0000-000006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7" name="Line 12">
            <a:extLst>
              <a:ext uri="{FF2B5EF4-FFF2-40B4-BE49-F238E27FC236}">
                <a16:creationId xmlns:a16="http://schemas.microsoft.com/office/drawing/2014/main" id="{00000000-0008-0000-0000-000007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8" name="Line 13">
            <a:extLst>
              <a:ext uri="{FF2B5EF4-FFF2-40B4-BE49-F238E27FC236}">
                <a16:creationId xmlns:a16="http://schemas.microsoft.com/office/drawing/2014/main" id="{00000000-0008-0000-0000-000008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oneCellAnchor>
    <xdr:from>
      <xdr:col>2</xdr:col>
      <xdr:colOff>8043</xdr:colOff>
      <xdr:row>12</xdr:row>
      <xdr:rowOff>245139</xdr:rowOff>
    </xdr:from>
    <xdr:ext cx="155364" cy="231033"/>
    <xdr:sp macro="" textlink="">
      <xdr:nvSpPr>
        <xdr:cNvPr id="9" name="Text Box 24">
          <a:extLst>
            <a:ext uri="{FF2B5EF4-FFF2-40B4-BE49-F238E27FC236}">
              <a16:creationId xmlns:a16="http://schemas.microsoft.com/office/drawing/2014/main" id="{00000000-0008-0000-0000-000009000000}"/>
            </a:ext>
          </a:extLst>
        </xdr:cNvPr>
        <xdr:cNvSpPr txBox="1">
          <a:spLocks noChangeArrowheads="1"/>
        </xdr:cNvSpPr>
      </xdr:nvSpPr>
      <xdr:spPr bwMode="auto">
        <a:xfrm>
          <a:off x="570018" y="4493289"/>
          <a:ext cx="155364" cy="231033"/>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xdr:from>
      <xdr:col>2</xdr:col>
      <xdr:colOff>0</xdr:colOff>
      <xdr:row>14</xdr:row>
      <xdr:rowOff>0</xdr:rowOff>
    </xdr:from>
    <xdr:to>
      <xdr:col>18</xdr:col>
      <xdr:colOff>0</xdr:colOff>
      <xdr:row>17</xdr:row>
      <xdr:rowOff>0</xdr:rowOff>
    </xdr:to>
    <xdr:sp macro="" textlink="">
      <xdr:nvSpPr>
        <xdr:cNvPr id="10" name="Text Box 26">
          <a:extLst>
            <a:ext uri="{FF2B5EF4-FFF2-40B4-BE49-F238E27FC236}">
              <a16:creationId xmlns:a16="http://schemas.microsoft.com/office/drawing/2014/main" id="{00000000-0008-0000-0000-00000A000000}"/>
            </a:ext>
          </a:extLst>
        </xdr:cNvPr>
        <xdr:cNvSpPr txBox="1">
          <a:spLocks noChangeArrowheads="1"/>
        </xdr:cNvSpPr>
      </xdr:nvSpPr>
      <xdr:spPr bwMode="auto">
        <a:xfrm>
          <a:off x="561975" y="4743450"/>
          <a:ext cx="6477000" cy="74295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lnSpc>
              <a:spcPts val="1300"/>
            </a:lnSpc>
            <a:defRPr sz="1000"/>
          </a:pPr>
          <a:r>
            <a:rPr lang="nl-NL" sz="1200" b="0" i="0" u="none" strike="noStrike" baseline="0">
              <a:solidFill>
                <a:srgbClr val="000000"/>
              </a:solidFill>
              <a:latin typeface="Tahoma"/>
              <a:ea typeface="Tahoma"/>
              <a:cs typeface="Tahoma"/>
            </a:rPr>
            <a:t>Utilisez ce module de calcul pour déterminer le montant de l'avantage imposable relatif à votre voiture de société en 2022.</a:t>
          </a:r>
        </a:p>
      </xdr:txBody>
    </xdr:sp>
    <xdr:clientData/>
  </xdr:twoCellAnchor>
  <xdr:oneCellAnchor>
    <xdr:from>
      <xdr:col>2</xdr:col>
      <xdr:colOff>0</xdr:colOff>
      <xdr:row>5</xdr:row>
      <xdr:rowOff>0</xdr:rowOff>
    </xdr:from>
    <xdr:ext cx="155364" cy="231033"/>
    <xdr:sp macro="" textlink="">
      <xdr:nvSpPr>
        <xdr:cNvPr id="11" name="Text Box 25">
          <a:extLst>
            <a:ext uri="{FF2B5EF4-FFF2-40B4-BE49-F238E27FC236}">
              <a16:creationId xmlns:a16="http://schemas.microsoft.com/office/drawing/2014/main" id="{00000000-0008-0000-0000-00000B000000}"/>
            </a:ext>
          </a:extLst>
        </xdr:cNvPr>
        <xdr:cNvSpPr txBox="1">
          <a:spLocks noChangeArrowheads="1"/>
        </xdr:cNvSpPr>
      </xdr:nvSpPr>
      <xdr:spPr bwMode="auto">
        <a:xfrm>
          <a:off x="561975" y="2514600"/>
          <a:ext cx="155364" cy="231033"/>
        </a:xfrm>
        <a:prstGeom prst="rect">
          <a:avLst/>
        </a:prstGeom>
        <a:solidFill>
          <a:srgbClr val="00008F"/>
        </a:solidFill>
        <a:ln>
          <a:noFill/>
        </a:ln>
        <a:effectLst>
          <a:prstShdw prst="shdw17" dist="17961" dir="2700000">
            <a:srgbClr xmlns:mc="http://schemas.openxmlformats.org/markup-compatibility/2006" xmlns:a14="http://schemas.microsoft.com/office/drawing/2010/main" val="2A2A2A" mc:Ignorable="a14" a14:legacySpreadsheetColorIndex="21">
              <a:gamma/>
              <a:shade val="60000"/>
              <a:invGamma/>
            </a:srgbClr>
          </a:prstShdw>
        </a:effec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xdr:from>
      <xdr:col>16</xdr:col>
      <xdr:colOff>523875</xdr:colOff>
      <xdr:row>21</xdr:row>
      <xdr:rowOff>238125</xdr:rowOff>
    </xdr:from>
    <xdr:to>
      <xdr:col>17</xdr:col>
      <xdr:colOff>9267</xdr:colOff>
      <xdr:row>23</xdr:row>
      <xdr:rowOff>238125</xdr:rowOff>
    </xdr:to>
    <xdr:sp macro="" textlink="">
      <xdr:nvSpPr>
        <xdr:cNvPr id="12" name="Rectangle 29">
          <a:extLst>
            <a:ext uri="{FF2B5EF4-FFF2-40B4-BE49-F238E27FC236}">
              <a16:creationId xmlns:a16="http://schemas.microsoft.com/office/drawing/2014/main" id="{00000000-0008-0000-0000-00000C000000}"/>
            </a:ext>
          </a:extLst>
        </xdr:cNvPr>
        <xdr:cNvSpPr>
          <a:spLocks noChangeArrowheads="1"/>
        </xdr:cNvSpPr>
      </xdr:nvSpPr>
      <xdr:spPr bwMode="auto">
        <a:xfrm>
          <a:off x="6419850" y="6715125"/>
          <a:ext cx="75942" cy="495300"/>
        </a:xfrm>
        <a:prstGeom prst="rect">
          <a:avLst/>
        </a:prstGeom>
        <a:solidFill>
          <a:schemeClr val="bg1">
            <a:lumMod val="95000"/>
          </a:schemeClr>
        </a:solidFill>
        <a:ln w="9525">
          <a:noFill/>
          <a:miter lim="800000"/>
          <a:headEnd/>
          <a:tailEnd/>
        </a:ln>
      </xdr:spPr>
    </xdr:sp>
    <xdr:clientData/>
  </xdr:twoCellAnchor>
  <xdr:twoCellAnchor editAs="oneCell">
    <xdr:from>
      <xdr:col>2</xdr:col>
      <xdr:colOff>28575</xdr:colOff>
      <xdr:row>1</xdr:row>
      <xdr:rowOff>238125</xdr:rowOff>
    </xdr:from>
    <xdr:to>
      <xdr:col>18</xdr:col>
      <xdr:colOff>27765</xdr:colOff>
      <xdr:row>3</xdr:row>
      <xdr:rowOff>37904</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590550" y="485775"/>
          <a:ext cx="6476190" cy="1571429"/>
        </a:xfrm>
        <a:prstGeom prst="rect">
          <a:avLst/>
        </a:prstGeom>
      </xdr:spPr>
    </xdr:pic>
    <xdr:clientData/>
  </xdr:twoCellAnchor>
  <xdr:twoCellAnchor>
    <xdr:from>
      <xdr:col>15</xdr:col>
      <xdr:colOff>0</xdr:colOff>
      <xdr:row>17</xdr:row>
      <xdr:rowOff>0</xdr:rowOff>
    </xdr:from>
    <xdr:to>
      <xdr:col>17</xdr:col>
      <xdr:colOff>0</xdr:colOff>
      <xdr:row>18</xdr:row>
      <xdr:rowOff>0</xdr:rowOff>
    </xdr:to>
    <xdr:grpSp>
      <xdr:nvGrpSpPr>
        <xdr:cNvPr id="14" name="Group 9">
          <a:extLst>
            <a:ext uri="{FF2B5EF4-FFF2-40B4-BE49-F238E27FC236}">
              <a16:creationId xmlns:a16="http://schemas.microsoft.com/office/drawing/2014/main" id="{00000000-0008-0000-0000-00000E000000}"/>
            </a:ext>
          </a:extLst>
        </xdr:cNvPr>
        <xdr:cNvGrpSpPr>
          <a:grpSpLocks/>
        </xdr:cNvGrpSpPr>
      </xdr:nvGrpSpPr>
      <xdr:grpSpPr bwMode="auto">
        <a:xfrm>
          <a:off x="5514975" y="5486400"/>
          <a:ext cx="971550" cy="247650"/>
          <a:chOff x="878" y="692"/>
          <a:chExt cx="40" cy="52"/>
        </a:xfrm>
      </xdr:grpSpPr>
      <xdr:sp macro="" textlink="">
        <xdr:nvSpPr>
          <xdr:cNvPr id="15" name="Line 10">
            <a:extLst>
              <a:ext uri="{FF2B5EF4-FFF2-40B4-BE49-F238E27FC236}">
                <a16:creationId xmlns:a16="http://schemas.microsoft.com/office/drawing/2014/main" id="{00000000-0008-0000-0000-00000F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6" name="Line 11">
            <a:extLst>
              <a:ext uri="{FF2B5EF4-FFF2-40B4-BE49-F238E27FC236}">
                <a16:creationId xmlns:a16="http://schemas.microsoft.com/office/drawing/2014/main" id="{00000000-0008-0000-0000-000010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7" name="Line 12">
            <a:extLst>
              <a:ext uri="{FF2B5EF4-FFF2-40B4-BE49-F238E27FC236}">
                <a16:creationId xmlns:a16="http://schemas.microsoft.com/office/drawing/2014/main" id="{00000000-0008-0000-0000-000011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18" name="Line 13">
            <a:extLst>
              <a:ext uri="{FF2B5EF4-FFF2-40B4-BE49-F238E27FC236}">
                <a16:creationId xmlns:a16="http://schemas.microsoft.com/office/drawing/2014/main" id="{00000000-0008-0000-0000-000012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19" name="Group 9">
          <a:extLst>
            <a:ext uri="{FF2B5EF4-FFF2-40B4-BE49-F238E27FC236}">
              <a16:creationId xmlns:a16="http://schemas.microsoft.com/office/drawing/2014/main" id="{00000000-0008-0000-0000-000013000000}"/>
            </a:ext>
          </a:extLst>
        </xdr:cNvPr>
        <xdr:cNvGrpSpPr>
          <a:grpSpLocks/>
        </xdr:cNvGrpSpPr>
      </xdr:nvGrpSpPr>
      <xdr:grpSpPr bwMode="auto">
        <a:xfrm>
          <a:off x="5514975" y="5486400"/>
          <a:ext cx="971550" cy="247650"/>
          <a:chOff x="878" y="692"/>
          <a:chExt cx="40" cy="52"/>
        </a:xfrm>
      </xdr:grpSpPr>
      <xdr:sp macro="" textlink="">
        <xdr:nvSpPr>
          <xdr:cNvPr id="20" name="Line 10">
            <a:extLst>
              <a:ext uri="{FF2B5EF4-FFF2-40B4-BE49-F238E27FC236}">
                <a16:creationId xmlns:a16="http://schemas.microsoft.com/office/drawing/2014/main" id="{00000000-0008-0000-0000-000014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1" name="Line 11">
            <a:extLst>
              <a:ext uri="{FF2B5EF4-FFF2-40B4-BE49-F238E27FC236}">
                <a16:creationId xmlns:a16="http://schemas.microsoft.com/office/drawing/2014/main" id="{00000000-0008-0000-0000-000015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2" name="Line 12">
            <a:extLst>
              <a:ext uri="{FF2B5EF4-FFF2-40B4-BE49-F238E27FC236}">
                <a16:creationId xmlns:a16="http://schemas.microsoft.com/office/drawing/2014/main" id="{00000000-0008-0000-0000-000016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3" name="Line 13">
            <a:extLst>
              <a:ext uri="{FF2B5EF4-FFF2-40B4-BE49-F238E27FC236}">
                <a16:creationId xmlns:a16="http://schemas.microsoft.com/office/drawing/2014/main" id="{00000000-0008-0000-0000-000017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24" name="Group 9">
          <a:extLst>
            <a:ext uri="{FF2B5EF4-FFF2-40B4-BE49-F238E27FC236}">
              <a16:creationId xmlns:a16="http://schemas.microsoft.com/office/drawing/2014/main" id="{00000000-0008-0000-0000-000018000000}"/>
            </a:ext>
          </a:extLst>
        </xdr:cNvPr>
        <xdr:cNvGrpSpPr>
          <a:grpSpLocks/>
        </xdr:cNvGrpSpPr>
      </xdr:nvGrpSpPr>
      <xdr:grpSpPr bwMode="auto">
        <a:xfrm>
          <a:off x="5514975" y="5486400"/>
          <a:ext cx="971550" cy="247650"/>
          <a:chOff x="878" y="692"/>
          <a:chExt cx="40" cy="52"/>
        </a:xfrm>
      </xdr:grpSpPr>
      <xdr:sp macro="" textlink="">
        <xdr:nvSpPr>
          <xdr:cNvPr id="25" name="Line 10">
            <a:extLst>
              <a:ext uri="{FF2B5EF4-FFF2-40B4-BE49-F238E27FC236}">
                <a16:creationId xmlns:a16="http://schemas.microsoft.com/office/drawing/2014/main" id="{00000000-0008-0000-0000-000019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6" name="Line 11">
            <a:extLst>
              <a:ext uri="{FF2B5EF4-FFF2-40B4-BE49-F238E27FC236}">
                <a16:creationId xmlns:a16="http://schemas.microsoft.com/office/drawing/2014/main" id="{00000000-0008-0000-0000-00001A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7" name="Line 12">
            <a:extLst>
              <a:ext uri="{FF2B5EF4-FFF2-40B4-BE49-F238E27FC236}">
                <a16:creationId xmlns:a16="http://schemas.microsoft.com/office/drawing/2014/main" id="{00000000-0008-0000-0000-00001B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28" name="Line 13">
            <a:extLst>
              <a:ext uri="{FF2B5EF4-FFF2-40B4-BE49-F238E27FC236}">
                <a16:creationId xmlns:a16="http://schemas.microsoft.com/office/drawing/2014/main" id="{00000000-0008-0000-0000-00001C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17</xdr:row>
      <xdr:rowOff>0</xdr:rowOff>
    </xdr:from>
    <xdr:to>
      <xdr:col>17</xdr:col>
      <xdr:colOff>0</xdr:colOff>
      <xdr:row>18</xdr:row>
      <xdr:rowOff>0</xdr:rowOff>
    </xdr:to>
    <xdr:grpSp>
      <xdr:nvGrpSpPr>
        <xdr:cNvPr id="29" name="Group 9">
          <a:extLst>
            <a:ext uri="{FF2B5EF4-FFF2-40B4-BE49-F238E27FC236}">
              <a16:creationId xmlns:a16="http://schemas.microsoft.com/office/drawing/2014/main" id="{00000000-0008-0000-0000-00001D000000}"/>
            </a:ext>
          </a:extLst>
        </xdr:cNvPr>
        <xdr:cNvGrpSpPr>
          <a:grpSpLocks/>
        </xdr:cNvGrpSpPr>
      </xdr:nvGrpSpPr>
      <xdr:grpSpPr bwMode="auto">
        <a:xfrm>
          <a:off x="5514975" y="5486400"/>
          <a:ext cx="971550" cy="247650"/>
          <a:chOff x="878" y="692"/>
          <a:chExt cx="40" cy="52"/>
        </a:xfrm>
      </xdr:grpSpPr>
      <xdr:sp macro="" textlink="">
        <xdr:nvSpPr>
          <xdr:cNvPr id="30" name="Line 10">
            <a:extLst>
              <a:ext uri="{FF2B5EF4-FFF2-40B4-BE49-F238E27FC236}">
                <a16:creationId xmlns:a16="http://schemas.microsoft.com/office/drawing/2014/main" id="{00000000-0008-0000-0000-00001E000000}"/>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1" name="Line 11">
            <a:extLst>
              <a:ext uri="{FF2B5EF4-FFF2-40B4-BE49-F238E27FC236}">
                <a16:creationId xmlns:a16="http://schemas.microsoft.com/office/drawing/2014/main" id="{00000000-0008-0000-0000-00001F000000}"/>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2" name="Line 12">
            <a:extLst>
              <a:ext uri="{FF2B5EF4-FFF2-40B4-BE49-F238E27FC236}">
                <a16:creationId xmlns:a16="http://schemas.microsoft.com/office/drawing/2014/main" id="{00000000-0008-0000-0000-000020000000}"/>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33" name="Line 13">
            <a:extLst>
              <a:ext uri="{FF2B5EF4-FFF2-40B4-BE49-F238E27FC236}">
                <a16:creationId xmlns:a16="http://schemas.microsoft.com/office/drawing/2014/main" id="{00000000-0008-0000-0000-000021000000}"/>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16</xdr:col>
      <xdr:colOff>523875</xdr:colOff>
      <xdr:row>21</xdr:row>
      <xdr:rowOff>238125</xdr:rowOff>
    </xdr:from>
    <xdr:to>
      <xdr:col>17</xdr:col>
      <xdr:colOff>9267</xdr:colOff>
      <xdr:row>23</xdr:row>
      <xdr:rowOff>238125</xdr:rowOff>
    </xdr:to>
    <xdr:sp macro="" textlink="">
      <xdr:nvSpPr>
        <xdr:cNvPr id="34" name="Rectangle 29">
          <a:extLst>
            <a:ext uri="{FF2B5EF4-FFF2-40B4-BE49-F238E27FC236}">
              <a16:creationId xmlns:a16="http://schemas.microsoft.com/office/drawing/2014/main" id="{00000000-0008-0000-0000-000022000000}"/>
            </a:ext>
          </a:extLst>
        </xdr:cNvPr>
        <xdr:cNvSpPr>
          <a:spLocks noChangeArrowheads="1"/>
        </xdr:cNvSpPr>
      </xdr:nvSpPr>
      <xdr:spPr bwMode="auto">
        <a:xfrm>
          <a:off x="6419850" y="6715125"/>
          <a:ext cx="75942" cy="495300"/>
        </a:xfrm>
        <a:prstGeom prst="rect">
          <a:avLst/>
        </a:prstGeom>
        <a:solidFill>
          <a:schemeClr val="bg1">
            <a:lumMod val="95000"/>
          </a:schemeClr>
        </a:solidFill>
        <a:ln w="9525">
          <a:noFill/>
          <a:miter lim="800000"/>
          <a:headEnd/>
          <a:tailEnd/>
        </a:ln>
      </xdr:spPr>
    </xdr:sp>
    <xdr:clientData/>
  </xdr:twoCellAnchor>
  <xdr:twoCellAnchor>
    <xdr:from>
      <xdr:col>16</xdr:col>
      <xdr:colOff>533400</xdr:colOff>
      <xdr:row>22</xdr:row>
      <xdr:rowOff>0</xdr:rowOff>
    </xdr:from>
    <xdr:to>
      <xdr:col>17</xdr:col>
      <xdr:colOff>18792</xdr:colOff>
      <xdr:row>24</xdr:row>
      <xdr:rowOff>0</xdr:rowOff>
    </xdr:to>
    <xdr:sp macro="" textlink="">
      <xdr:nvSpPr>
        <xdr:cNvPr id="35" name="Rectangle 29">
          <a:extLst>
            <a:ext uri="{FF2B5EF4-FFF2-40B4-BE49-F238E27FC236}">
              <a16:creationId xmlns:a16="http://schemas.microsoft.com/office/drawing/2014/main" id="{00000000-0008-0000-0000-000023000000}"/>
            </a:ext>
          </a:extLst>
        </xdr:cNvPr>
        <xdr:cNvSpPr>
          <a:spLocks noChangeArrowheads="1"/>
        </xdr:cNvSpPr>
      </xdr:nvSpPr>
      <xdr:spPr bwMode="auto">
        <a:xfrm>
          <a:off x="6429375" y="6724650"/>
          <a:ext cx="75942" cy="495300"/>
        </a:xfrm>
        <a:prstGeom prst="rect">
          <a:avLst/>
        </a:prstGeom>
        <a:solidFill>
          <a:schemeClr val="accent1">
            <a:lumMod val="20000"/>
            <a:lumOff val="80000"/>
          </a:schemeClr>
        </a:solidFill>
        <a:ln w="9525">
          <a:noFill/>
          <a:miter lim="800000"/>
          <a:headEnd/>
          <a:tailEnd/>
        </a:ln>
      </xdr:spPr>
    </xdr:sp>
    <xdr:clientData/>
  </xdr:twoCellAnchor>
  <xdr:twoCellAnchor>
    <xdr:from>
      <xdr:col>16</xdr:col>
      <xdr:colOff>514608</xdr:colOff>
      <xdr:row>22</xdr:row>
      <xdr:rowOff>0</xdr:rowOff>
    </xdr:from>
    <xdr:to>
      <xdr:col>17</xdr:col>
      <xdr:colOff>0</xdr:colOff>
      <xdr:row>24</xdr:row>
      <xdr:rowOff>0</xdr:rowOff>
    </xdr:to>
    <xdr:sp macro="" textlink="">
      <xdr:nvSpPr>
        <xdr:cNvPr id="36" name="Rectangle 29">
          <a:extLst>
            <a:ext uri="{FF2B5EF4-FFF2-40B4-BE49-F238E27FC236}">
              <a16:creationId xmlns:a16="http://schemas.microsoft.com/office/drawing/2014/main" id="{00000000-0008-0000-0000-000024000000}"/>
            </a:ext>
          </a:extLst>
        </xdr:cNvPr>
        <xdr:cNvSpPr>
          <a:spLocks noChangeArrowheads="1"/>
        </xdr:cNvSpPr>
      </xdr:nvSpPr>
      <xdr:spPr bwMode="auto">
        <a:xfrm>
          <a:off x="6410583" y="6724650"/>
          <a:ext cx="75942" cy="4953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12</xdr:row>
          <xdr:rowOff>28575</xdr:rowOff>
        </xdr:from>
        <xdr:to>
          <xdr:col>4</xdr:col>
          <xdr:colOff>1038225</xdr:colOff>
          <xdr:row>13</xdr:row>
          <xdr:rowOff>0</xdr:rowOff>
        </xdr:to>
        <xdr:sp macro="" textlink="">
          <xdr:nvSpPr>
            <xdr:cNvPr id="10241" name="Drop Down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12</xdr:row>
          <xdr:rowOff>19050</xdr:rowOff>
        </xdr:from>
        <xdr:to>
          <xdr:col>5</xdr:col>
          <xdr:colOff>0</xdr:colOff>
          <xdr:row>12</xdr:row>
          <xdr:rowOff>190500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1402080</xdr:colOff>
      <xdr:row>21</xdr:row>
      <xdr:rowOff>0</xdr:rowOff>
    </xdr:from>
    <xdr:to>
      <xdr:col>3</xdr:col>
      <xdr:colOff>2837</xdr:colOff>
      <xdr:row>22</xdr:row>
      <xdr:rowOff>0</xdr:rowOff>
    </xdr:to>
    <xdr:sp macro="" textlink="">
      <xdr:nvSpPr>
        <xdr:cNvPr id="6" name="Text Box 33">
          <a:extLst>
            <a:ext uri="{FF2B5EF4-FFF2-40B4-BE49-F238E27FC236}">
              <a16:creationId xmlns:a16="http://schemas.microsoft.com/office/drawing/2014/main" id="{00000000-0008-0000-0100-000006000000}"/>
            </a:ext>
          </a:extLst>
        </xdr:cNvPr>
        <xdr:cNvSpPr txBox="1">
          <a:spLocks noChangeArrowheads="1"/>
        </xdr:cNvSpPr>
      </xdr:nvSpPr>
      <xdr:spPr bwMode="auto">
        <a:xfrm>
          <a:off x="3392805" y="2581275"/>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[a]</a:t>
          </a:r>
        </a:p>
      </xdr:txBody>
    </xdr:sp>
    <xdr:clientData/>
  </xdr:twoCellAnchor>
  <xdr:twoCellAnchor editAs="oneCell">
    <xdr:from>
      <xdr:col>2</xdr:col>
      <xdr:colOff>1402080</xdr:colOff>
      <xdr:row>22</xdr:row>
      <xdr:rowOff>0</xdr:rowOff>
    </xdr:from>
    <xdr:to>
      <xdr:col>3</xdr:col>
      <xdr:colOff>2837</xdr:colOff>
      <xdr:row>23</xdr:row>
      <xdr:rowOff>0</xdr:rowOff>
    </xdr:to>
    <xdr:sp macro="" textlink="">
      <xdr:nvSpPr>
        <xdr:cNvPr id="7" name="Text Box 34">
          <a:extLst>
            <a:ext uri="{FF2B5EF4-FFF2-40B4-BE49-F238E27FC236}">
              <a16:creationId xmlns:a16="http://schemas.microsoft.com/office/drawing/2014/main" id="{00000000-0008-0000-0100-000007000000}"/>
            </a:ext>
          </a:extLst>
        </xdr:cNvPr>
        <xdr:cNvSpPr txBox="1">
          <a:spLocks noChangeArrowheads="1"/>
        </xdr:cNvSpPr>
      </xdr:nvSpPr>
      <xdr:spPr bwMode="auto">
        <a:xfrm>
          <a:off x="3392805" y="2781300"/>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[b]</a:t>
          </a:r>
        </a:p>
      </xdr:txBody>
    </xdr:sp>
    <xdr:clientData/>
  </xdr:twoCellAnchor>
  <xdr:twoCellAnchor editAs="oneCell">
    <xdr:from>
      <xdr:col>2</xdr:col>
      <xdr:colOff>1402080</xdr:colOff>
      <xdr:row>24</xdr:row>
      <xdr:rowOff>0</xdr:rowOff>
    </xdr:from>
    <xdr:to>
      <xdr:col>3</xdr:col>
      <xdr:colOff>2837</xdr:colOff>
      <xdr:row>25</xdr:row>
      <xdr:rowOff>0</xdr:rowOff>
    </xdr:to>
    <xdr:sp macro="" textlink="">
      <xdr:nvSpPr>
        <xdr:cNvPr id="8" name="Text Box 35">
          <a:extLst>
            <a:ext uri="{FF2B5EF4-FFF2-40B4-BE49-F238E27FC236}">
              <a16:creationId xmlns:a16="http://schemas.microsoft.com/office/drawing/2014/main" id="{00000000-0008-0000-0100-000008000000}"/>
            </a:ext>
          </a:extLst>
        </xdr:cNvPr>
        <xdr:cNvSpPr txBox="1">
          <a:spLocks noChangeArrowheads="1"/>
        </xdr:cNvSpPr>
      </xdr:nvSpPr>
      <xdr:spPr bwMode="auto">
        <a:xfrm>
          <a:off x="3392805" y="3181350"/>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[c]</a:t>
          </a:r>
        </a:p>
      </xdr:txBody>
    </xdr:sp>
    <xdr:clientData/>
  </xdr:twoCellAnchor>
  <xdr:twoCellAnchor editAs="oneCell">
    <xdr:from>
      <xdr:col>2</xdr:col>
      <xdr:colOff>1402080</xdr:colOff>
      <xdr:row>25</xdr:row>
      <xdr:rowOff>0</xdr:rowOff>
    </xdr:from>
    <xdr:to>
      <xdr:col>3</xdr:col>
      <xdr:colOff>2837</xdr:colOff>
      <xdr:row>26</xdr:row>
      <xdr:rowOff>0</xdr:rowOff>
    </xdr:to>
    <xdr:sp macro="" textlink="">
      <xdr:nvSpPr>
        <xdr:cNvPr id="9" name="Text Box 36">
          <a:extLst>
            <a:ext uri="{FF2B5EF4-FFF2-40B4-BE49-F238E27FC236}">
              <a16:creationId xmlns:a16="http://schemas.microsoft.com/office/drawing/2014/main" id="{00000000-0008-0000-0100-000009000000}"/>
            </a:ext>
          </a:extLst>
        </xdr:cNvPr>
        <xdr:cNvSpPr txBox="1">
          <a:spLocks noChangeArrowheads="1"/>
        </xdr:cNvSpPr>
      </xdr:nvSpPr>
      <xdr:spPr bwMode="auto">
        <a:xfrm>
          <a:off x="3392805" y="3381375"/>
          <a:ext cx="21048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nl-BE" sz="800" b="0" i="0" u="none" strike="noStrike" baseline="0">
              <a:solidFill>
                <a:srgbClr val="000000"/>
              </a:solidFill>
              <a:latin typeface="Tahoma"/>
              <a:ea typeface="Tahoma"/>
              <a:cs typeface="Tahoma"/>
            </a:rPr>
            <a:t>[d]</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15</xdr:row>
          <xdr:rowOff>19050</xdr:rowOff>
        </xdr:from>
        <xdr:to>
          <xdr:col>5</xdr:col>
          <xdr:colOff>0</xdr:colOff>
          <xdr:row>16</xdr:row>
          <xdr:rowOff>0</xdr:rowOff>
        </xdr:to>
        <xdr:sp macro="" textlink="">
          <xdr:nvSpPr>
            <xdr:cNvPr id="10247" name="Drop Dow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12</xdr:row>
          <xdr:rowOff>28575</xdr:rowOff>
        </xdr:from>
        <xdr:to>
          <xdr:col>4</xdr:col>
          <xdr:colOff>247650</xdr:colOff>
          <xdr:row>13</xdr:row>
          <xdr:rowOff>0</xdr:rowOff>
        </xdr:to>
        <xdr:sp macro="" textlink="">
          <xdr:nvSpPr>
            <xdr:cNvPr id="10253" name="Drop Down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19050</xdr:rowOff>
        </xdr:from>
        <xdr:to>
          <xdr:col>4</xdr:col>
          <xdr:colOff>704850</xdr:colOff>
          <xdr:row>14</xdr:row>
          <xdr:rowOff>180975</xdr:rowOff>
        </xdr:to>
        <xdr:sp macro="" textlink="">
          <xdr:nvSpPr>
            <xdr:cNvPr id="10254" name="Scroll Bar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9525</xdr:rowOff>
        </xdr:from>
        <xdr:to>
          <xdr:col>1</xdr:col>
          <xdr:colOff>238125</xdr:colOff>
          <xdr:row>15</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solidFill>
              <a:srgbClr val="E6E6E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1619250</xdr:colOff>
          <xdr:row>6</xdr:row>
          <xdr:rowOff>180975</xdr:rowOff>
        </xdr:from>
        <xdr:to>
          <xdr:col>3</xdr:col>
          <xdr:colOff>180975</xdr:colOff>
          <xdr:row>8</xdr:row>
          <xdr:rowOff>19050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solidFill>
              <a:srgbClr val="91918C">
                <a:alpha val="34000"/>
              </a:srgbClr>
            </a:solidFill>
            <a:ln>
              <a:noFill/>
            </a:ln>
            <a:extLst>
              <a:ext uri="{91240B29-F687-4F45-9708-019B960494DF}">
                <a14:hiddenLine w="12700">
                  <a:solidFill>
                    <a:srgbClr val="80808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19050</xdr:rowOff>
        </xdr:from>
        <xdr:to>
          <xdr:col>4</xdr:col>
          <xdr:colOff>704850</xdr:colOff>
          <xdr:row>13</xdr:row>
          <xdr:rowOff>180975</xdr:rowOff>
        </xdr:to>
        <xdr:sp macro="" textlink="">
          <xdr:nvSpPr>
            <xdr:cNvPr id="10261" name="Scroll Bar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4</xdr:col>
          <xdr:colOff>1571625</xdr:colOff>
          <xdr:row>8</xdr:row>
          <xdr:rowOff>190500</xdr:rowOff>
        </xdr:to>
        <xdr:sp macro="" textlink="">
          <xdr:nvSpPr>
            <xdr:cNvPr id="10264" name="Drop Down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19050</xdr:rowOff>
        </xdr:from>
        <xdr:to>
          <xdr:col>4</xdr:col>
          <xdr:colOff>695325</xdr:colOff>
          <xdr:row>38</xdr:row>
          <xdr:rowOff>180975</xdr:rowOff>
        </xdr:to>
        <xdr:sp macro="" textlink="">
          <xdr:nvSpPr>
            <xdr:cNvPr id="10268" name="Scroll Bar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1581150</xdr:colOff>
          <xdr:row>4</xdr:row>
          <xdr:rowOff>9525</xdr:rowOff>
        </xdr:from>
        <xdr:to>
          <xdr:col>5</xdr:col>
          <xdr:colOff>28575</xdr:colOff>
          <xdr:row>5</xdr:row>
          <xdr:rowOff>28575</xdr:rowOff>
        </xdr:to>
        <xdr:sp macro="" textlink="">
          <xdr:nvSpPr>
            <xdr:cNvPr id="10269" name="Drop Down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oneCellAnchor>
    <xdr:from>
      <xdr:col>0</xdr:col>
      <xdr:colOff>371898</xdr:colOff>
      <xdr:row>1</xdr:row>
      <xdr:rowOff>107279</xdr:rowOff>
    </xdr:from>
    <xdr:ext cx="155364" cy="221407"/>
    <xdr:sp macro="" textlink="">
      <xdr:nvSpPr>
        <xdr:cNvPr id="17" name="Text Box 7">
          <a:extLst>
            <a:ext uri="{FF2B5EF4-FFF2-40B4-BE49-F238E27FC236}">
              <a16:creationId xmlns:a16="http://schemas.microsoft.com/office/drawing/2014/main" id="{00000000-0008-0000-0100-000011000000}"/>
            </a:ext>
          </a:extLst>
        </xdr:cNvPr>
        <xdr:cNvSpPr txBox="1">
          <a:spLocks noChangeArrowheads="1"/>
        </xdr:cNvSpPr>
      </xdr:nvSpPr>
      <xdr:spPr bwMode="auto">
        <a:xfrm>
          <a:off x="371898" y="307304"/>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en-GB" sz="1200" b="0" i="0" u="none" strike="noStrike" baseline="0">
              <a:solidFill>
                <a:srgbClr val="FFFFFF"/>
              </a:solidFill>
              <a:latin typeface="Wingdings 3"/>
            </a:rPr>
            <a:t>}</a:t>
          </a:r>
        </a:p>
      </xdr:txBody>
    </xdr:sp>
    <xdr:clientData/>
  </xdr:oneCellAnchor>
  <xdr:twoCellAnchor editAs="oneCell">
    <xdr:from>
      <xdr:col>6</xdr:col>
      <xdr:colOff>9525</xdr:colOff>
      <xdr:row>2</xdr:row>
      <xdr:rowOff>28575</xdr:rowOff>
    </xdr:from>
    <xdr:to>
      <xdr:col>10</xdr:col>
      <xdr:colOff>9525</xdr:colOff>
      <xdr:row>2</xdr:row>
      <xdr:rowOff>161925</xdr:rowOff>
    </xdr:to>
    <xdr:sp macro="" textlink="">
      <xdr:nvSpPr>
        <xdr:cNvPr id="18" name="Text Box 1">
          <a:extLst>
            <a:ext uri="{FF2B5EF4-FFF2-40B4-BE49-F238E27FC236}">
              <a16:creationId xmlns:a16="http://schemas.microsoft.com/office/drawing/2014/main" id="{00000000-0008-0000-0100-000012000000}"/>
            </a:ext>
          </a:extLst>
        </xdr:cNvPr>
        <xdr:cNvSpPr txBox="1">
          <a:spLocks noChangeArrowheads="1"/>
        </xdr:cNvSpPr>
      </xdr:nvSpPr>
      <xdr:spPr bwMode="auto">
        <a:xfrm>
          <a:off x="7391400" y="609600"/>
          <a:ext cx="1524000" cy="133350"/>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a:extLst>
          <a:ext uri="{91240B29-F687-4F45-9708-019B960494DF}">
            <a14:hiddenLine xmlns:a14="http://schemas.microsoft.com/office/drawing/2010/main" w="9525">
              <a:solidFill>
                <a:srgbClr xmlns:mc="http://schemas.openxmlformats.org/markup-compatibility/2006" val="CDCDCD"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en-GB" sz="700" b="0" i="0" u="none" strike="noStrike" baseline="0">
              <a:solidFill>
                <a:srgbClr val="FFFFFF"/>
              </a:solidFill>
              <a:latin typeface="Small Fonts"/>
            </a:rPr>
            <a:t>[ c o l o n nz   d e   n a v i g a t i o n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38101</xdr:colOff>
      <xdr:row>27</xdr:row>
      <xdr:rowOff>19049</xdr:rowOff>
    </xdr:from>
    <xdr:to>
      <xdr:col>17</xdr:col>
      <xdr:colOff>581025</xdr:colOff>
      <xdr:row>27</xdr:row>
      <xdr:rowOff>114300</xdr:rowOff>
    </xdr:to>
    <xdr:sp macro="" textlink="">
      <xdr:nvSpPr>
        <xdr:cNvPr id="2" name="Arrow: Right 1">
          <a:extLst>
            <a:ext uri="{FF2B5EF4-FFF2-40B4-BE49-F238E27FC236}">
              <a16:creationId xmlns:a16="http://schemas.microsoft.com/office/drawing/2014/main" id="{00000000-0008-0000-0200-000002000000}"/>
            </a:ext>
          </a:extLst>
        </xdr:cNvPr>
        <xdr:cNvSpPr/>
      </xdr:nvSpPr>
      <xdr:spPr bwMode="auto">
        <a:xfrm>
          <a:off x="4171951" y="4571999"/>
          <a:ext cx="257174" cy="95251"/>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GB" sz="1100"/>
        </a:p>
      </xdr:txBody>
    </xdr:sp>
    <xdr:clientData/>
  </xdr:twoCellAnchor>
  <xdr:twoCellAnchor>
    <xdr:from>
      <xdr:col>17</xdr:col>
      <xdr:colOff>57151</xdr:colOff>
      <xdr:row>26</xdr:row>
      <xdr:rowOff>47624</xdr:rowOff>
    </xdr:from>
    <xdr:to>
      <xdr:col>17</xdr:col>
      <xdr:colOff>600075</xdr:colOff>
      <xdr:row>26</xdr:row>
      <xdr:rowOff>142875</xdr:rowOff>
    </xdr:to>
    <xdr:sp macro="" textlink="">
      <xdr:nvSpPr>
        <xdr:cNvPr id="3" name="Arrow: Right 2">
          <a:extLst>
            <a:ext uri="{FF2B5EF4-FFF2-40B4-BE49-F238E27FC236}">
              <a16:creationId xmlns:a16="http://schemas.microsoft.com/office/drawing/2014/main" id="{00000000-0008-0000-0200-000003000000}"/>
            </a:ext>
          </a:extLst>
        </xdr:cNvPr>
        <xdr:cNvSpPr/>
      </xdr:nvSpPr>
      <xdr:spPr bwMode="auto">
        <a:xfrm>
          <a:off x="4191001" y="4438649"/>
          <a:ext cx="238124" cy="95251"/>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Q46"/>
  <sheetViews>
    <sheetView showGridLines="0" showRowColHeaders="0" tabSelected="1" workbookViewId="0"/>
  </sheetViews>
  <sheetFormatPr defaultColWidth="5.7109375" defaultRowHeight="20.100000000000001" customHeight="1" x14ac:dyDescent="0.15"/>
  <cols>
    <col min="1" max="1" width="5.7109375" style="105" customWidth="1"/>
    <col min="2" max="2" width="2.7109375" style="105" customWidth="1"/>
    <col min="3" max="3" width="4.28515625" style="105" customWidth="1"/>
    <col min="4" max="4" width="7.140625" style="105" customWidth="1"/>
    <col min="5" max="16" width="5.7109375" style="105" customWidth="1"/>
    <col min="17" max="17" width="8.85546875" style="105" customWidth="1"/>
    <col min="18" max="18" width="8.28515625" style="105" customWidth="1"/>
    <col min="19" max="19" width="2.7109375" style="105" customWidth="1"/>
    <col min="20" max="23" width="5.7109375" style="105" customWidth="1"/>
    <col min="24" max="24" width="7.42578125" style="105" customWidth="1"/>
    <col min="25" max="27" width="5.7109375" style="105" customWidth="1"/>
    <col min="28" max="28" width="8.42578125" style="105" customWidth="1"/>
    <col min="29" max="16384" width="5.7109375" style="105"/>
  </cols>
  <sheetData>
    <row r="1" spans="1:43" ht="20.100000000000001" customHeight="1" x14ac:dyDescent="0.15">
      <c r="A1" s="104"/>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row>
    <row r="2" spans="1:43" ht="20.100000000000001" customHeight="1" x14ac:dyDescent="0.15">
      <c r="A2" s="104"/>
      <c r="B2"/>
      <c r="C2"/>
      <c r="D2"/>
      <c r="E2"/>
      <c r="F2"/>
      <c r="G2"/>
      <c r="H2"/>
      <c r="I2"/>
      <c r="J2"/>
      <c r="K2"/>
      <c r="L2"/>
      <c r="M2"/>
      <c r="N2"/>
      <c r="O2"/>
      <c r="P2"/>
      <c r="Q2"/>
      <c r="R2"/>
      <c r="S2"/>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row>
    <row r="3" spans="1:43" ht="120" customHeight="1" x14ac:dyDescent="0.15">
      <c r="A3" s="104"/>
      <c r="B3"/>
      <c r="C3"/>
      <c r="D3"/>
      <c r="E3"/>
      <c r="F3"/>
      <c r="G3"/>
      <c r="H3"/>
      <c r="I3"/>
      <c r="J3"/>
      <c r="K3"/>
      <c r="L3"/>
      <c r="M3"/>
      <c r="N3"/>
      <c r="O3"/>
      <c r="P3"/>
      <c r="Q3"/>
      <c r="R3"/>
      <c r="S3"/>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row>
    <row r="4" spans="1:43" ht="20.100000000000001" customHeight="1" x14ac:dyDescent="0.15">
      <c r="A4" s="104"/>
      <c r="B4"/>
      <c r="C4" s="106" t="s">
        <v>97</v>
      </c>
      <c r="D4"/>
      <c r="E4"/>
      <c r="F4"/>
      <c r="G4"/>
      <c r="H4"/>
      <c r="I4"/>
      <c r="J4"/>
      <c r="K4"/>
      <c r="L4"/>
      <c r="M4" s="107"/>
      <c r="N4" s="107"/>
      <c r="O4" s="107"/>
      <c r="P4" s="107"/>
      <c r="Q4"/>
      <c r="R4" s="108"/>
      <c r="S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row>
    <row r="5" spans="1:43" ht="20.100000000000001" customHeight="1" x14ac:dyDescent="0.15">
      <c r="A5" s="104"/>
      <c r="B5"/>
      <c r="C5"/>
      <c r="D5"/>
      <c r="E5"/>
      <c r="F5"/>
      <c r="G5"/>
      <c r="H5"/>
      <c r="I5"/>
      <c r="J5"/>
      <c r="K5"/>
      <c r="L5"/>
      <c r="M5"/>
      <c r="N5"/>
      <c r="O5"/>
      <c r="P5"/>
      <c r="Q5"/>
      <c r="R5"/>
      <c r="S5"/>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row>
    <row r="6" spans="1:43" ht="20.100000000000001" customHeight="1" x14ac:dyDescent="0.15">
      <c r="A6" s="104"/>
      <c r="B6"/>
      <c r="C6" s="109"/>
      <c r="D6" s="116" t="s">
        <v>93</v>
      </c>
      <c r="E6" s="117"/>
      <c r="F6" s="117"/>
      <c r="G6" s="117"/>
      <c r="H6" s="117"/>
      <c r="I6" s="117"/>
      <c r="J6" s="117"/>
      <c r="K6" s="117"/>
      <c r="L6" s="117"/>
      <c r="M6" s="117"/>
      <c r="N6" s="117"/>
      <c r="O6" s="117"/>
      <c r="P6" s="117"/>
      <c r="Q6" s="117"/>
      <c r="R6" s="117"/>
      <c r="S6"/>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row>
    <row r="7" spans="1:43" ht="20.100000000000001" customHeight="1" x14ac:dyDescent="0.15">
      <c r="A7" s="104"/>
      <c r="B7"/>
      <c r="C7"/>
      <c r="D7"/>
      <c r="E7"/>
      <c r="F7"/>
      <c r="G7"/>
      <c r="H7"/>
      <c r="I7"/>
      <c r="J7"/>
      <c r="K7"/>
      <c r="L7"/>
      <c r="M7"/>
      <c r="N7"/>
      <c r="O7"/>
      <c r="P7"/>
      <c r="Q7"/>
      <c r="R7"/>
      <c r="S7"/>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row>
    <row r="8" spans="1:43" ht="20.100000000000001" customHeight="1" x14ac:dyDescent="0.15">
      <c r="A8" s="104"/>
      <c r="B8"/>
      <c r="C8"/>
      <c r="D8"/>
      <c r="E8"/>
      <c r="F8"/>
      <c r="G8"/>
      <c r="H8"/>
      <c r="I8"/>
      <c r="J8"/>
      <c r="K8"/>
      <c r="L8"/>
      <c r="M8"/>
      <c r="N8"/>
      <c r="O8"/>
      <c r="P8"/>
      <c r="Q8"/>
      <c r="R8"/>
      <c r="S8"/>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row>
    <row r="9" spans="1:43" ht="20.100000000000001" customHeight="1" x14ac:dyDescent="0.15">
      <c r="A9" s="104"/>
      <c r="B9"/>
      <c r="C9"/>
      <c r="D9"/>
      <c r="E9"/>
      <c r="F9"/>
      <c r="G9"/>
      <c r="H9"/>
      <c r="I9"/>
      <c r="J9"/>
      <c r="K9"/>
      <c r="L9"/>
      <c r="M9"/>
      <c r="N9"/>
      <c r="O9"/>
      <c r="P9"/>
      <c r="Q9"/>
      <c r="R9"/>
      <c r="S9"/>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row>
    <row r="10" spans="1:43" ht="20.100000000000001" customHeight="1" x14ac:dyDescent="0.15">
      <c r="A10" s="104"/>
      <c r="B10"/>
      <c r="C10"/>
      <c r="D10"/>
      <c r="E10"/>
      <c r="F10"/>
      <c r="G10"/>
      <c r="H10"/>
      <c r="I10"/>
      <c r="J10"/>
      <c r="K10"/>
      <c r="L10"/>
      <c r="M10"/>
      <c r="N10"/>
      <c r="O10"/>
      <c r="P10"/>
      <c r="Q10"/>
      <c r="R10"/>
      <c r="S10"/>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row>
    <row r="11" spans="1:43" ht="20.100000000000001" customHeight="1" x14ac:dyDescent="0.15">
      <c r="A11" s="104"/>
      <c r="B11"/>
      <c r="C11"/>
      <c r="D11"/>
      <c r="E11"/>
      <c r="F11"/>
      <c r="G11"/>
      <c r="H11"/>
      <c r="I11"/>
      <c r="J11"/>
      <c r="K11"/>
      <c r="L11"/>
      <c r="M11"/>
      <c r="N11"/>
      <c r="O11"/>
      <c r="P11"/>
      <c r="Q11"/>
      <c r="R11"/>
      <c r="S11"/>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row>
    <row r="12" spans="1:43" ht="20.100000000000001" customHeight="1" x14ac:dyDescent="0.15">
      <c r="A12" s="104"/>
      <c r="B12"/>
      <c r="C12"/>
      <c r="D12"/>
      <c r="E12"/>
      <c r="F12"/>
      <c r="G12"/>
      <c r="H12"/>
      <c r="I12"/>
      <c r="J12"/>
      <c r="K12"/>
      <c r="L12"/>
      <c r="M12"/>
      <c r="N12"/>
      <c r="O12"/>
      <c r="P12"/>
      <c r="Q12"/>
      <c r="R12"/>
      <c r="S12"/>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row>
    <row r="13" spans="1:43" ht="20.100000000000001" customHeight="1" x14ac:dyDescent="0.15">
      <c r="A13" s="104"/>
      <c r="B13"/>
      <c r="C13"/>
      <c r="D13"/>
      <c r="E13"/>
      <c r="F13"/>
      <c r="G13"/>
      <c r="H13"/>
      <c r="I13"/>
      <c r="J13"/>
      <c r="K13"/>
      <c r="L13"/>
      <c r="M13"/>
      <c r="N13"/>
      <c r="O13"/>
      <c r="P13"/>
      <c r="Q13"/>
      <c r="R13"/>
      <c r="S13"/>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row>
    <row r="14" spans="1:43" ht="20.100000000000001" customHeight="1" x14ac:dyDescent="0.15">
      <c r="A14" s="104"/>
      <c r="B14"/>
      <c r="C14" s="110"/>
      <c r="D14" s="111" t="s">
        <v>90</v>
      </c>
      <c r="E14"/>
      <c r="F14"/>
      <c r="G14"/>
      <c r="H14"/>
      <c r="I14"/>
      <c r="J14"/>
      <c r="K14"/>
      <c r="L14"/>
      <c r="M14"/>
      <c r="N14"/>
      <c r="O14"/>
      <c r="P14"/>
      <c r="Q14"/>
      <c r="R14"/>
      <c r="S1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row>
    <row r="15" spans="1:43" ht="20.100000000000001" customHeight="1" x14ac:dyDescent="0.15">
      <c r="A15" s="104"/>
      <c r="B15"/>
      <c r="C15" s="112"/>
      <c r="D15"/>
      <c r="E15"/>
      <c r="F15"/>
      <c r="G15"/>
      <c r="H15"/>
      <c r="I15"/>
      <c r="J15"/>
      <c r="K15"/>
      <c r="L15"/>
      <c r="M15"/>
      <c r="N15"/>
      <c r="O15"/>
      <c r="P15"/>
      <c r="Q15"/>
      <c r="R15"/>
      <c r="S15"/>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row>
    <row r="16" spans="1:43" ht="20.100000000000001" customHeight="1" x14ac:dyDescent="0.15">
      <c r="A16" s="104"/>
      <c r="B16"/>
      <c r="C16"/>
      <c r="D16"/>
      <c r="E16"/>
      <c r="F16"/>
      <c r="G16"/>
      <c r="H16"/>
      <c r="I16"/>
      <c r="J16"/>
      <c r="K16"/>
      <c r="L16"/>
      <c r="M16"/>
      <c r="N16"/>
      <c r="O16"/>
      <c r="P16"/>
      <c r="Q16"/>
      <c r="R16"/>
      <c r="S16"/>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row>
    <row r="17" spans="1:43" ht="20.100000000000001" customHeight="1" x14ac:dyDescent="0.15">
      <c r="A17" s="104"/>
      <c r="B17"/>
      <c r="C17"/>
      <c r="D17"/>
      <c r="E17"/>
      <c r="F17"/>
      <c r="G17"/>
      <c r="H17"/>
      <c r="I17"/>
      <c r="J17"/>
      <c r="K17"/>
      <c r="L17"/>
      <c r="M17"/>
      <c r="N17"/>
      <c r="O17"/>
      <c r="P17"/>
      <c r="Q17"/>
      <c r="R17"/>
      <c r="S17"/>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row>
    <row r="18" spans="1:43" ht="20.100000000000001" customHeight="1" x14ac:dyDescent="0.15">
      <c r="A18" s="104"/>
      <c r="B18"/>
      <c r="C18"/>
      <c r="D18"/>
      <c r="E18"/>
      <c r="F18"/>
      <c r="G18"/>
      <c r="H18"/>
      <c r="I18"/>
      <c r="J18"/>
      <c r="K18"/>
      <c r="L18"/>
      <c r="M18"/>
      <c r="N18"/>
      <c r="O18"/>
      <c r="P18" s="118" t="s">
        <v>91</v>
      </c>
      <c r="Q18" s="118"/>
      <c r="R18"/>
      <c r="S18"/>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row>
    <row r="19" spans="1:43" ht="20.100000000000001" customHeight="1" x14ac:dyDescent="0.15">
      <c r="A19" s="104"/>
      <c r="B19"/>
      <c r="C19"/>
      <c r="D19"/>
      <c r="E19"/>
      <c r="F19"/>
      <c r="G19"/>
      <c r="H19"/>
      <c r="I19"/>
      <c r="J19"/>
      <c r="K19"/>
      <c r="L19"/>
      <c r="M19"/>
      <c r="N19"/>
      <c r="O19"/>
      <c r="P19"/>
      <c r="Q19"/>
      <c r="R19"/>
      <c r="S19"/>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row>
    <row r="20" spans="1:43" ht="20.100000000000001" customHeight="1" x14ac:dyDescent="0.15">
      <c r="A20" s="104"/>
      <c r="B20"/>
      <c r="C20"/>
      <c r="D20"/>
      <c r="E20"/>
      <c r="F20"/>
      <c r="G20"/>
      <c r="H20"/>
      <c r="I20"/>
      <c r="J20"/>
      <c r="K20"/>
      <c r="L20"/>
      <c r="M20"/>
      <c r="N20"/>
      <c r="O20"/>
      <c r="P20"/>
      <c r="Q20"/>
      <c r="R20"/>
      <c r="S20"/>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row>
    <row r="21" spans="1:43" ht="20.100000000000001" customHeight="1" x14ac:dyDescent="0.15">
      <c r="A21" s="104"/>
      <c r="B21"/>
      <c r="C21"/>
      <c r="D21"/>
      <c r="E21"/>
      <c r="F21"/>
      <c r="G21"/>
      <c r="H21"/>
      <c r="I21"/>
      <c r="J21"/>
      <c r="K21"/>
      <c r="L21"/>
      <c r="M21"/>
      <c r="N21"/>
      <c r="O21"/>
      <c r="P21"/>
      <c r="Q21"/>
      <c r="R21"/>
      <c r="S21"/>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row>
    <row r="22" spans="1:43" ht="20.100000000000001" customHeight="1" x14ac:dyDescent="0.15">
      <c r="A22" s="104"/>
      <c r="B22"/>
      <c r="C22" s="90"/>
      <c r="D22" s="90"/>
      <c r="E22" s="90"/>
      <c r="F22" s="90"/>
      <c r="G22" s="90"/>
      <c r="H22" s="90"/>
      <c r="I22" s="90"/>
      <c r="J22" s="90"/>
      <c r="K22" s="90"/>
      <c r="L22" s="90"/>
      <c r="M22" s="90"/>
      <c r="N22" s="90"/>
      <c r="O22" s="90"/>
      <c r="P22" s="90"/>
      <c r="Q22" s="90"/>
      <c r="R22" s="90"/>
      <c r="S22"/>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row>
    <row r="23" spans="1:43" ht="20.100000000000001" customHeight="1" x14ac:dyDescent="0.15">
      <c r="A23" s="104"/>
      <c r="B23"/>
      <c r="C23" s="119" t="s">
        <v>92</v>
      </c>
      <c r="D23" s="119"/>
      <c r="E23" s="119"/>
      <c r="F23" s="119"/>
      <c r="G23" s="119"/>
      <c r="H23" s="119"/>
      <c r="I23" s="119"/>
      <c r="J23" s="119"/>
      <c r="K23" s="119"/>
      <c r="L23" s="119"/>
      <c r="M23" s="119"/>
      <c r="N23" s="119"/>
      <c r="O23" s="119"/>
      <c r="P23" s="120" t="s">
        <v>13</v>
      </c>
      <c r="Q23" s="121"/>
      <c r="R23" s="113"/>
      <c r="S23"/>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row>
    <row r="24" spans="1:43" ht="20.100000000000001" customHeight="1" x14ac:dyDescent="0.15">
      <c r="A24" s="104"/>
      <c r="B24"/>
      <c r="C24" s="119"/>
      <c r="D24" s="119"/>
      <c r="E24" s="119"/>
      <c r="F24" s="119"/>
      <c r="G24" s="119"/>
      <c r="H24" s="119"/>
      <c r="I24" s="119"/>
      <c r="J24" s="119"/>
      <c r="K24" s="119"/>
      <c r="L24" s="119"/>
      <c r="M24" s="119"/>
      <c r="N24" s="119"/>
      <c r="O24" s="119"/>
      <c r="P24" s="120" t="s">
        <v>14</v>
      </c>
      <c r="Q24" s="121"/>
      <c r="R24" s="113"/>
      <c r="S2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row>
    <row r="25" spans="1:43" ht="20.100000000000001" customHeight="1" x14ac:dyDescent="0.15">
      <c r="A25" s="104"/>
      <c r="B25"/>
      <c r="C25"/>
      <c r="D25"/>
      <c r="E25"/>
      <c r="F25"/>
      <c r="G25"/>
      <c r="H25"/>
      <c r="I25"/>
      <c r="J25"/>
      <c r="K25"/>
      <c r="L25"/>
      <c r="M25"/>
      <c r="N25"/>
      <c r="O25"/>
      <c r="P25"/>
      <c r="Q25" s="1"/>
      <c r="R25" s="1"/>
      <c r="S25"/>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row>
    <row r="26" spans="1:43" ht="20.100000000000001" customHeight="1" x14ac:dyDescent="0.15">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row>
    <row r="27" spans="1:43" ht="20.100000000000001" customHeight="1" x14ac:dyDescent="0.15">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row>
    <row r="28" spans="1:43" ht="20.100000000000001" customHeight="1" x14ac:dyDescent="0.15">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row>
    <row r="29" spans="1:43" ht="20.100000000000001" customHeight="1" x14ac:dyDescent="0.15">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row>
    <row r="30" spans="1:43" ht="20.100000000000001" customHeight="1" x14ac:dyDescent="0.15">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row>
    <row r="31" spans="1:43" ht="20.100000000000001" customHeight="1" x14ac:dyDescent="0.15">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row>
    <row r="32" spans="1:43" ht="20.100000000000001" customHeight="1" x14ac:dyDescent="0.15">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row>
    <row r="33" spans="1:43" ht="20.100000000000001" customHeight="1" x14ac:dyDescent="0.15">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row>
    <row r="34" spans="1:43" ht="20.100000000000001" customHeight="1" x14ac:dyDescent="0.15">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row>
    <row r="35" spans="1:43" ht="20.100000000000001" customHeight="1" x14ac:dyDescent="0.15">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row>
    <row r="36" spans="1:43" ht="20.100000000000001" customHeight="1" x14ac:dyDescent="0.15">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row>
    <row r="37" spans="1:43" ht="20.100000000000001" customHeight="1" x14ac:dyDescent="0.15">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row>
    <row r="38" spans="1:43" ht="20.100000000000001" customHeight="1" x14ac:dyDescent="0.15">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row>
    <row r="39" spans="1:43" ht="20.100000000000001" customHeight="1" x14ac:dyDescent="0.15">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row>
    <row r="40" spans="1:43" ht="20.100000000000001" customHeight="1" x14ac:dyDescent="0.15">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row>
    <row r="41" spans="1:43" ht="20.100000000000001" customHeight="1" x14ac:dyDescent="0.15">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row>
    <row r="42" spans="1:43" ht="20.100000000000001" customHeight="1" x14ac:dyDescent="0.15">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row>
    <row r="43" spans="1:43" ht="20.100000000000001" customHeight="1" x14ac:dyDescent="0.15">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row>
    <row r="44" spans="1:43" ht="20.100000000000001" customHeight="1" x14ac:dyDescent="0.15">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row>
    <row r="45" spans="1:43" ht="20.100000000000001" customHeight="1" x14ac:dyDescent="0.15">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row>
    <row r="46" spans="1:43" ht="20.100000000000001" customHeight="1" x14ac:dyDescent="0.15">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row>
  </sheetData>
  <sheetProtection algorithmName="SHA-512" hashValue="6Ya+ViHReFTzEX4tVPUABokCigfETwvXptlf69mm+oAev7RFRMdkQVMTZXQMtwkLq3eVXfi93NRT2hwFQpnTwQ==" saltValue="nGA95GYXHvM/rAu0bwlYzA==" spinCount="100000" sheet="1" objects="1" scenarios="1"/>
  <mergeCells count="5">
    <mergeCell ref="D6:R6"/>
    <mergeCell ref="P18:Q18"/>
    <mergeCell ref="C23:O24"/>
    <mergeCell ref="P23:Q23"/>
    <mergeCell ref="P24:Q24"/>
  </mergeCells>
  <hyperlinks>
    <hyperlink ref="P18:Q18" location="'1'!A1" tooltip="Calculez-le!" display="} cliquez ici" xr:uid="{00000000-0004-0000-0000-000000000000}"/>
  </hyperlinks>
  <pageMargins left="0.75" right="0.75" top="1" bottom="1" header="0.5" footer="0.5"/>
  <pageSetup paperSize="9" orientation="portrait" r:id="rId1"/>
  <headerFooter alignWithMargins="0">
    <oddHeader>&amp;C&amp;Z&amp;F</oddHead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pageSetUpPr autoPageBreaks="0" fitToPage="1"/>
  </sheetPr>
  <dimension ref="A1:R52"/>
  <sheetViews>
    <sheetView showGridLines="0" showRowColHeaders="0" zoomScaleNormal="100" workbookViewId="0">
      <selection activeCell="C28" sqref="C28"/>
    </sheetView>
  </sheetViews>
  <sheetFormatPr defaultColWidth="9.140625" defaultRowHeight="15.95" customHeight="1" x14ac:dyDescent="0.15"/>
  <cols>
    <col min="1" max="1" width="5.7109375" style="10" customWidth="1"/>
    <col min="2" max="2" width="25.85546875" style="10" customWidth="1"/>
    <col min="3" max="3" width="25.140625" style="10" customWidth="1"/>
    <col min="4" max="5" width="24.140625" style="10" customWidth="1"/>
    <col min="6" max="6" width="5.7109375" style="10" customWidth="1"/>
    <col min="7" max="41" width="5.7109375" style="11" customWidth="1"/>
    <col min="42" max="16384" width="9.140625" style="11"/>
  </cols>
  <sheetData>
    <row r="1" spans="2:18" ht="15.95" customHeight="1" thickBot="1" x14ac:dyDescent="0.2"/>
    <row r="2" spans="2:18" ht="30" customHeight="1" thickBot="1" x14ac:dyDescent="0.2">
      <c r="B2" s="101" t="s">
        <v>94</v>
      </c>
      <c r="C2" s="100"/>
      <c r="D2" s="100"/>
      <c r="E2" s="100"/>
      <c r="G2" s="2" t="s">
        <v>0</v>
      </c>
      <c r="H2" s="3" t="s">
        <v>1</v>
      </c>
      <c r="I2" s="4" t="s">
        <v>2</v>
      </c>
      <c r="J2" s="4" t="s">
        <v>3</v>
      </c>
    </row>
    <row r="3" spans="2:18" ht="15.95" customHeight="1" x14ac:dyDescent="0.15">
      <c r="E3" s="91"/>
      <c r="G3" s="8"/>
      <c r="H3" s="8"/>
      <c r="I3" s="8"/>
      <c r="J3" s="8"/>
    </row>
    <row r="4" spans="2:18" ht="30" customHeight="1" x14ac:dyDescent="0.15">
      <c r="B4" s="5" t="s">
        <v>87</v>
      </c>
      <c r="C4" s="5"/>
      <c r="D4" s="6"/>
      <c r="G4" s="20"/>
      <c r="H4" s="20"/>
      <c r="I4" s="20"/>
      <c r="J4" s="20"/>
      <c r="K4" s="15"/>
      <c r="L4" s="15"/>
      <c r="M4" s="15"/>
      <c r="N4" s="15"/>
      <c r="O4" s="15"/>
      <c r="P4" s="10"/>
      <c r="Q4" s="10"/>
      <c r="R4" s="10"/>
    </row>
    <row r="5" spans="2:18" ht="15.95" hidden="1" customHeight="1" x14ac:dyDescent="0.15">
      <c r="B5" s="12" t="s">
        <v>73</v>
      </c>
      <c r="C5" s="5"/>
      <c r="D5" s="6"/>
      <c r="G5" s="20"/>
      <c r="H5" s="20"/>
      <c r="I5" s="20"/>
      <c r="J5" s="20"/>
      <c r="K5" s="15"/>
      <c r="L5" s="15"/>
      <c r="M5" s="15"/>
      <c r="N5" s="15"/>
      <c r="O5" s="15"/>
      <c r="P5" s="10"/>
      <c r="Q5" s="10"/>
      <c r="R5" s="10"/>
    </row>
    <row r="6" spans="2:18" ht="15.95" hidden="1" customHeight="1" x14ac:dyDescent="0.15">
      <c r="B6" s="5"/>
      <c r="C6" s="5"/>
      <c r="D6" s="6"/>
      <c r="G6" s="20"/>
      <c r="H6" s="20"/>
      <c r="I6" s="20"/>
      <c r="J6" s="20"/>
      <c r="K6" s="15"/>
      <c r="L6" s="15"/>
      <c r="M6" s="15"/>
      <c r="N6" s="15"/>
      <c r="O6" s="15"/>
      <c r="P6" s="10"/>
      <c r="Q6" s="10"/>
      <c r="R6" s="10"/>
    </row>
    <row r="7" spans="2:18" ht="15.95" customHeight="1" x14ac:dyDescent="0.15">
      <c r="B7" s="12" t="s">
        <v>86</v>
      </c>
      <c r="C7" s="5"/>
      <c r="D7" s="6"/>
      <c r="E7" s="92"/>
      <c r="G7" s="20"/>
      <c r="H7" s="20"/>
      <c r="I7" s="20"/>
      <c r="J7" s="20"/>
      <c r="K7" s="15"/>
      <c r="L7" s="15"/>
      <c r="M7" s="15"/>
      <c r="N7" s="15"/>
      <c r="O7" s="15"/>
      <c r="P7" s="10"/>
      <c r="Q7" s="10"/>
      <c r="R7" s="10"/>
    </row>
    <row r="8" spans="2:18" ht="15.95" customHeight="1" x14ac:dyDescent="0.15">
      <c r="B8" s="12" t="s">
        <v>74</v>
      </c>
      <c r="C8" s="12"/>
      <c r="D8" s="102" t="str">
        <f>IF('1'!$E$8=calc!$M$6,"","Faux hybride")</f>
        <v>Faux hybride</v>
      </c>
      <c r="E8" s="93" t="s">
        <v>69</v>
      </c>
      <c r="G8" s="49" t="s">
        <v>1</v>
      </c>
      <c r="H8" s="41" t="b">
        <v>0</v>
      </c>
      <c r="I8" s="21"/>
      <c r="J8" s="21"/>
      <c r="K8" s="15"/>
      <c r="L8" s="15"/>
      <c r="M8" s="15"/>
      <c r="N8" s="15"/>
      <c r="O8" s="15"/>
      <c r="Q8" s="10"/>
      <c r="R8" s="10"/>
    </row>
    <row r="9" spans="2:18" ht="15.95" customHeight="1" x14ac:dyDescent="0.15">
      <c r="B9" s="12" t="s">
        <v>68</v>
      </c>
      <c r="C9" s="12"/>
      <c r="D9" s="12"/>
      <c r="E9" s="94"/>
      <c r="G9" s="21"/>
      <c r="H9" s="41"/>
      <c r="I9" s="21"/>
      <c r="J9" s="21"/>
      <c r="K9" s="15"/>
      <c r="L9" s="15"/>
      <c r="M9" s="15"/>
      <c r="N9" s="15"/>
      <c r="O9" s="15"/>
      <c r="Q9" s="10"/>
      <c r="R9" s="10"/>
    </row>
    <row r="10" spans="2:18" ht="15.95" customHeight="1" x14ac:dyDescent="0.15">
      <c r="B10" s="12" t="s">
        <v>75</v>
      </c>
      <c r="C10" s="12"/>
      <c r="D10" s="98" t="str">
        <f>IF($E$8=calc!$M$6,"pas d'émissions de CO2","")</f>
        <v/>
      </c>
      <c r="E10" s="92">
        <v>0</v>
      </c>
      <c r="G10" s="21"/>
      <c r="H10" s="21"/>
      <c r="I10" s="21"/>
      <c r="J10" s="21"/>
      <c r="K10" s="15"/>
      <c r="L10" s="15"/>
      <c r="M10" s="15"/>
      <c r="N10" s="15"/>
      <c r="O10" s="15"/>
      <c r="Q10" s="10"/>
      <c r="R10" s="10"/>
    </row>
    <row r="11" spans="2:18" ht="15.95" customHeight="1" x14ac:dyDescent="0.15">
      <c r="B11" s="12" t="s">
        <v>67</v>
      </c>
      <c r="C11" s="12"/>
      <c r="D11" s="12"/>
      <c r="E11" s="92">
        <v>0</v>
      </c>
      <c r="G11" s="21"/>
      <c r="H11" s="21"/>
      <c r="I11" s="21"/>
      <c r="J11" s="21"/>
      <c r="K11" s="15"/>
      <c r="L11" s="15"/>
      <c r="M11" s="15"/>
      <c r="N11" s="15"/>
      <c r="O11" s="15"/>
      <c r="Q11" s="10"/>
      <c r="R11" s="10"/>
    </row>
    <row r="12" spans="2:18" ht="15.95" customHeight="1" x14ac:dyDescent="0.15">
      <c r="B12" s="12" t="s">
        <v>76</v>
      </c>
      <c r="C12" s="12"/>
      <c r="D12" s="12"/>
      <c r="E12" s="95">
        <v>0</v>
      </c>
      <c r="G12" s="25" t="s">
        <v>1</v>
      </c>
      <c r="H12" s="21"/>
      <c r="I12" s="21"/>
      <c r="J12" s="21"/>
      <c r="K12" s="15"/>
      <c r="L12" s="15"/>
      <c r="M12" s="15"/>
      <c r="N12" s="15"/>
      <c r="O12" s="15"/>
      <c r="Q12" s="10"/>
      <c r="R12" s="10"/>
    </row>
    <row r="13" spans="2:18" ht="15.95" customHeight="1" x14ac:dyDescent="0.15">
      <c r="B13" s="12" t="s">
        <v>77</v>
      </c>
      <c r="C13" s="12"/>
      <c r="D13" s="12"/>
      <c r="E13" s="26"/>
      <c r="G13" s="21" t="b">
        <f>IF(calc!D33=calc!$L$32,TRUE,FALSE)</f>
        <v>1</v>
      </c>
      <c r="H13" s="21">
        <f>MAX(0,calc!$L$32-calc!$D$33-1)</f>
        <v>0</v>
      </c>
      <c r="I13" s="33">
        <f>G13*(12-J13)</f>
        <v>12</v>
      </c>
      <c r="J13" s="21">
        <f>+calc!D10</f>
        <v>0</v>
      </c>
      <c r="K13" s="15"/>
      <c r="L13" s="15"/>
      <c r="M13" s="15"/>
      <c r="N13" s="15"/>
      <c r="O13" s="15"/>
      <c r="P13" s="10"/>
      <c r="Q13" s="10"/>
      <c r="R13" s="10"/>
    </row>
    <row r="14" spans="2:18" ht="15.95" customHeight="1" x14ac:dyDescent="0.15">
      <c r="B14" s="12" t="s">
        <v>78</v>
      </c>
      <c r="C14" s="12"/>
      <c r="D14" s="12"/>
      <c r="E14" s="96">
        <f>MIN(calc!$K$45,calc!$C$3+calc!$B$2)</f>
        <v>44562</v>
      </c>
      <c r="G14" s="21" t="b">
        <f>IF(YEAR(E14)=calc!$L$32,TRUE,FALSE)</f>
        <v>1</v>
      </c>
      <c r="H14" s="21"/>
      <c r="I14" s="33"/>
      <c r="J14" s="21"/>
      <c r="K14" s="15"/>
      <c r="L14" s="15"/>
      <c r="M14" s="15"/>
      <c r="N14" s="15"/>
      <c r="O14" s="15"/>
      <c r="P14" s="10"/>
      <c r="Q14" s="10"/>
      <c r="R14" s="10"/>
    </row>
    <row r="15" spans="2:18" ht="15.95" customHeight="1" x14ac:dyDescent="0.15">
      <c r="B15" s="64" t="str">
        <f>"Voiture de société restituée en "&amp;calc!L32</f>
        <v>Voiture de société restituée en 2022</v>
      </c>
      <c r="C15" s="12"/>
      <c r="D15" s="12" t="str">
        <f>IF($G$15=TRUE,"Date réception en "&amp;calc!$L$32&amp;":","")</f>
        <v/>
      </c>
      <c r="E15" s="96">
        <f>IF(G14=TRUE,MAX(calc!$K$44,MIN(calc!$K$45,calc!$C$4+calc!$D$3)),calc!$K$44-1+calc!$D$3)</f>
        <v>44562</v>
      </c>
      <c r="G15" s="41" t="b">
        <v>0</v>
      </c>
      <c r="H15" s="21"/>
      <c r="I15" s="33"/>
      <c r="J15" s="21"/>
      <c r="K15" s="15"/>
      <c r="L15" s="15"/>
      <c r="M15" s="15"/>
      <c r="N15" s="15"/>
      <c r="O15" s="15"/>
      <c r="P15" s="10"/>
      <c r="Q15" s="10"/>
      <c r="R15" s="10"/>
    </row>
    <row r="16" spans="2:18" ht="15.95" customHeight="1" x14ac:dyDescent="0.15">
      <c r="B16" s="12" t="s">
        <v>66</v>
      </c>
      <c r="C16" s="12"/>
      <c r="D16" s="12"/>
      <c r="E16" s="97"/>
      <c r="G16" s="16"/>
      <c r="H16" s="21"/>
      <c r="I16" s="21"/>
      <c r="J16" s="21"/>
      <c r="K16" s="15"/>
      <c r="L16" s="15"/>
      <c r="M16" s="15"/>
      <c r="N16" s="15"/>
      <c r="O16" s="15"/>
      <c r="P16" s="10"/>
      <c r="Q16" s="10"/>
      <c r="R16" s="10"/>
    </row>
    <row r="17" spans="2:18" ht="15.95" customHeight="1" x14ac:dyDescent="0.15">
      <c r="B17" s="12"/>
      <c r="C17" s="12"/>
      <c r="D17" s="12"/>
      <c r="E17" s="12"/>
      <c r="G17" s="16"/>
      <c r="H17" s="21"/>
      <c r="I17" s="21"/>
      <c r="J17" s="21"/>
      <c r="K17" s="15"/>
      <c r="L17" s="15"/>
      <c r="M17" s="15"/>
      <c r="N17" s="15"/>
      <c r="O17" s="15"/>
      <c r="P17" s="10"/>
      <c r="Q17" s="10"/>
      <c r="R17" s="10"/>
    </row>
    <row r="18" spans="2:18" ht="15.95" customHeight="1" x14ac:dyDescent="0.15">
      <c r="B18" s="12" t="str">
        <f>"Cotisation personnelle pour usage privé en "&amp;calc!L32&amp;" :"</f>
        <v>Cotisation personnelle pour usage privé en 2022 :</v>
      </c>
      <c r="C18" s="12"/>
      <c r="D18" s="12"/>
      <c r="E18" s="99">
        <v>0</v>
      </c>
      <c r="G18" s="16"/>
      <c r="H18" s="21"/>
      <c r="I18" s="21"/>
      <c r="J18" s="21"/>
      <c r="K18" s="15"/>
      <c r="L18" s="15"/>
      <c r="M18" s="15"/>
      <c r="N18" s="15"/>
      <c r="O18" s="15"/>
      <c r="P18" s="10"/>
      <c r="Q18" s="10"/>
      <c r="R18" s="10"/>
    </row>
    <row r="19" spans="2:18" ht="15.95" customHeight="1" x14ac:dyDescent="0.15">
      <c r="B19" s="12"/>
      <c r="C19" s="12"/>
      <c r="D19" s="12"/>
      <c r="E19" s="12"/>
      <c r="G19" s="16"/>
      <c r="H19" s="21"/>
      <c r="I19" s="21"/>
      <c r="J19" s="21"/>
      <c r="K19" s="15"/>
      <c r="L19" s="15"/>
      <c r="M19" s="15"/>
      <c r="N19" s="15"/>
      <c r="O19" s="15"/>
      <c r="P19" s="10"/>
      <c r="Q19" s="10"/>
      <c r="R19" s="10"/>
    </row>
    <row r="20" spans="2:18" ht="15.95" customHeight="1" x14ac:dyDescent="0.15">
      <c r="B20" s="12"/>
      <c r="C20" s="12"/>
      <c r="D20" s="12"/>
      <c r="E20" s="12"/>
      <c r="G20" s="16"/>
      <c r="H20" s="21"/>
      <c r="I20" s="21"/>
      <c r="J20" s="21"/>
      <c r="K20" s="15"/>
      <c r="L20" s="15"/>
      <c r="M20" s="15"/>
      <c r="N20" s="15"/>
      <c r="O20" s="15"/>
      <c r="P20" s="10"/>
      <c r="Q20" s="10"/>
      <c r="R20" s="10"/>
    </row>
    <row r="21" spans="2:18" ht="21.95" customHeight="1" x14ac:dyDescent="0.15">
      <c r="B21" s="5" t="s">
        <v>95</v>
      </c>
      <c r="C21" s="5"/>
      <c r="D21" s="17" t="str">
        <f>IF(AND(J13=0,G13=FALSE),"",IF(G13=TRUE,"Pour "&amp;calc!$D$6&amp;" jour(s)",IF(MIN(calc!D5,calc!B6)=0,"",IF(MIN(calc!D5,calc!B6)=1,"Pour le premier jour","Pour les "&amp;MIN(calc!D5,calc!B6)&amp;" premiers jours"))))</f>
        <v>Pour 365 jour(s)</v>
      </c>
      <c r="E21" s="17" t="str">
        <f>IF(AND(J13=0,G13=FALSE),"Pour "&amp;calc!$D$6&amp;" jour(s)",IF(G13=TRUE,"",IF(calc!$D$6=0,"",IF(calc!$D$6=1,IF(MIN(calc!$D$5,calc!$B$6)=0,"Pour 1 jour","Pour le jour suivant"),IF(MIN(calc!$D$5,calc!$B$6)=0,"Pour "&amp;calc!$D$6&amp;" jours","Pour les "&amp;calc!$D$6&amp;" jours suivants")))))</f>
        <v/>
      </c>
      <c r="G21" s="16"/>
      <c r="H21" s="16"/>
      <c r="I21" s="16"/>
      <c r="J21" s="16"/>
      <c r="K21" s="15"/>
      <c r="L21" s="15"/>
      <c r="M21" s="15"/>
      <c r="N21" s="15"/>
      <c r="O21" s="15"/>
      <c r="P21" s="10"/>
      <c r="Q21" s="10"/>
      <c r="R21" s="10"/>
    </row>
    <row r="22" spans="2:18" ht="15.95" customHeight="1" x14ac:dyDescent="0.15">
      <c r="B22" s="12" t="s">
        <v>79</v>
      </c>
      <c r="C22" s="18"/>
      <c r="D22" s="34">
        <f>+E12</f>
        <v>0</v>
      </c>
      <c r="E22" s="34">
        <f>+E12</f>
        <v>0</v>
      </c>
      <c r="F22" s="12"/>
      <c r="G22" s="16"/>
      <c r="H22" s="16"/>
      <c r="I22" s="16"/>
      <c r="J22" s="16"/>
      <c r="K22" s="15"/>
      <c r="L22" s="15"/>
      <c r="M22" s="15"/>
      <c r="N22" s="15"/>
      <c r="O22" s="15"/>
      <c r="P22" s="10"/>
      <c r="Q22" s="10"/>
      <c r="R22" s="10"/>
    </row>
    <row r="23" spans="2:18" ht="15.75" customHeight="1" x14ac:dyDescent="0.15">
      <c r="B23" s="12" t="s">
        <v>80</v>
      </c>
      <c r="C23" s="18"/>
      <c r="D23" s="35">
        <f>MAX(70%,100%-H13*6%)</f>
        <v>1</v>
      </c>
      <c r="E23" s="35">
        <f>MAX(70%,100%-(H13+1)*6%)</f>
        <v>0.94</v>
      </c>
      <c r="F23" s="12"/>
      <c r="G23" s="16"/>
      <c r="H23" s="16"/>
      <c r="I23" s="16"/>
      <c r="J23" s="16"/>
      <c r="K23" s="15"/>
      <c r="L23" s="15"/>
      <c r="M23" s="15"/>
      <c r="N23" s="15"/>
      <c r="O23" s="15"/>
      <c r="P23" s="10"/>
      <c r="Q23" s="10"/>
      <c r="R23" s="10"/>
    </row>
    <row r="24" spans="2:18" ht="15.95" customHeight="1" x14ac:dyDescent="0.15">
      <c r="B24" s="12" t="s">
        <v>64</v>
      </c>
      <c r="C24" s="18"/>
      <c r="D24" s="36">
        <f>IF(E12&gt;0,MAX(4%,IF(E8=calc!$M$6,4%,MIN(18%,5.5%+(IF(AND(calc!$L$32&gt;=2020,calc!$H$4&gt;=2018,$H$8=TRUE),coot2,coot)-IF(E8=calc!$K$6,calc!$K$41,calc!$K$42))*0.1%))),0)</f>
        <v>0</v>
      </c>
      <c r="E24" s="36">
        <f>IF(E12&gt;0,MAX(4%,IF(E8=calc!$M$6,4%,MIN(18%,5.5%+(IF(AND(calc!$L$32&gt;=2020,calc!$H$4&gt;=2018,$H$8=TRUE),coot2,coot)-IF(E8=calc!$K$6,calc!$K$41,calc!$K$42))*0.1%))),0)</f>
        <v>0</v>
      </c>
      <c r="F24" s="12"/>
      <c r="G24" s="16"/>
      <c r="H24" s="16"/>
      <c r="I24" s="16"/>
      <c r="J24" s="16"/>
      <c r="K24" s="15"/>
      <c r="L24" s="15"/>
      <c r="M24" s="15"/>
      <c r="N24" s="15"/>
      <c r="O24" s="15"/>
      <c r="P24" s="10"/>
      <c r="Q24" s="10"/>
      <c r="R24" s="10"/>
    </row>
    <row r="25" spans="2:18" ht="15.95" customHeight="1" x14ac:dyDescent="0.15">
      <c r="B25" s="12" t="s">
        <v>65</v>
      </c>
      <c r="C25" s="19"/>
      <c r="D25" s="36">
        <f>D24*0.857142857142857</f>
        <v>0</v>
      </c>
      <c r="E25" s="36">
        <f>E24*0.857142857142857</f>
        <v>0</v>
      </c>
      <c r="F25" s="12"/>
      <c r="G25" s="16"/>
      <c r="H25" s="16"/>
      <c r="I25" s="16"/>
      <c r="J25" s="16"/>
      <c r="K25" s="15"/>
      <c r="L25" s="15"/>
      <c r="M25" s="15"/>
      <c r="N25" s="15"/>
      <c r="O25" s="15"/>
      <c r="P25" s="10"/>
      <c r="Q25" s="10"/>
      <c r="R25" s="10"/>
    </row>
    <row r="26" spans="2:18" ht="15.95" customHeight="1" x14ac:dyDescent="0.15">
      <c r="B26" s="12" t="s">
        <v>81</v>
      </c>
      <c r="C26" s="19"/>
      <c r="D26" s="114">
        <f>IF(G13=TRUE,calc!D6,MIN(calc!D5,calc!B6))</f>
        <v>365</v>
      </c>
      <c r="E26" s="37">
        <f>IF(G13=TRUE,0,calc!D6)</f>
        <v>0</v>
      </c>
      <c r="G26" s="7"/>
      <c r="H26" s="7"/>
      <c r="I26" s="7"/>
      <c r="J26" s="9"/>
      <c r="K26" s="15"/>
      <c r="L26" s="15"/>
      <c r="M26" s="15"/>
      <c r="N26" s="15"/>
      <c r="O26" s="15"/>
      <c r="P26" s="10"/>
      <c r="Q26" s="10"/>
      <c r="R26" s="10"/>
    </row>
    <row r="27" spans="2:18" ht="15.95" customHeight="1" x14ac:dyDescent="0.15">
      <c r="B27" s="12" t="str">
        <f>"L'avantage est égal à [a] x [b] x [c] x [d]/"&amp;calc!$Q$33&amp;" :"</f>
        <v>L'avantage est égal à [a] x [b] x [c] x [d]/365 :</v>
      </c>
      <c r="C27" s="12"/>
      <c r="D27" s="14">
        <f>E12*D23*D25*IF(G13=TRUE,calc!D6,MIN(calc!D5,calc!B6))/calc!$Q$33</f>
        <v>0</v>
      </c>
      <c r="E27" s="14">
        <f>E12*E23*E25*IF(G13=TRUE,0,calc!D6)/calc!$Q$33</f>
        <v>0</v>
      </c>
      <c r="G27" s="7"/>
      <c r="H27" s="7"/>
      <c r="I27" s="7"/>
      <c r="J27" s="9"/>
      <c r="K27" s="15"/>
      <c r="L27" s="15"/>
      <c r="M27" s="15"/>
      <c r="N27" s="15"/>
      <c r="O27" s="15"/>
      <c r="P27" s="10"/>
      <c r="Q27" s="10"/>
      <c r="R27" s="10"/>
    </row>
    <row r="28" spans="2:18" ht="15.95" customHeight="1" x14ac:dyDescent="0.15">
      <c r="B28" s="12" t="str">
        <f>"Total pour "&amp;calc!L32&amp;" :"</f>
        <v>Total pour 2022 :</v>
      </c>
      <c r="C28" s="40" t="str">
        <f>IF(D28&gt;E27+D27,"[Le minimum est d'application]","")</f>
        <v>[Le minimum est d'application]</v>
      </c>
      <c r="D28" s="122">
        <f>MAX(calc!$K$43/calc!$Q$33*(D26+E26),D27+E27)</f>
        <v>1400</v>
      </c>
      <c r="E28" s="123"/>
      <c r="G28" s="7"/>
      <c r="H28" s="7"/>
      <c r="I28" s="7"/>
      <c r="J28" s="9"/>
      <c r="N28" s="10"/>
      <c r="O28" s="10"/>
      <c r="P28" s="10"/>
      <c r="Q28" s="10"/>
      <c r="R28" s="10"/>
    </row>
    <row r="29" spans="2:18" ht="15.95" customHeight="1" x14ac:dyDescent="0.15">
      <c r="B29" s="63" t="str">
        <f>"- contribution personnelle pour usage privé "&amp;calc!$L$32&amp;" :"</f>
        <v>- contribution personnelle pour usage privé 2022 :</v>
      </c>
      <c r="C29" s="12"/>
      <c r="D29" s="124">
        <f>MAX(-D28,-E18*IF(E12&gt;0,1,0))</f>
        <v>0</v>
      </c>
      <c r="E29" s="125"/>
      <c r="G29" s="7"/>
      <c r="H29" s="7"/>
      <c r="I29" s="7"/>
      <c r="J29" s="9"/>
      <c r="N29" s="10"/>
      <c r="O29" s="10"/>
      <c r="P29" s="10"/>
      <c r="Q29" s="10"/>
      <c r="R29" s="10"/>
    </row>
    <row r="30" spans="2:18" ht="15.95" customHeight="1" x14ac:dyDescent="0.15">
      <c r="B30" s="12" t="s">
        <v>82</v>
      </c>
      <c r="C30" s="12"/>
      <c r="D30" s="122">
        <f>MAX(0,D28+D29)</f>
        <v>1400</v>
      </c>
      <c r="E30" s="123"/>
      <c r="G30" s="7"/>
      <c r="H30" s="7"/>
      <c r="I30" s="7"/>
      <c r="J30" s="9"/>
      <c r="N30" s="10"/>
      <c r="O30" s="10"/>
      <c r="P30" s="10"/>
      <c r="Q30" s="10"/>
      <c r="R30" s="10"/>
    </row>
    <row r="31" spans="2:18" ht="15.95" customHeight="1" x14ac:dyDescent="0.15">
      <c r="B31" s="12"/>
      <c r="C31" s="12"/>
      <c r="D31" s="11"/>
      <c r="E31" s="23"/>
      <c r="G31" s="7"/>
      <c r="H31" s="7"/>
      <c r="I31" s="7"/>
      <c r="J31" s="9"/>
      <c r="N31" s="10"/>
      <c r="O31" s="10"/>
      <c r="P31" s="10"/>
      <c r="Q31" s="10"/>
      <c r="R31" s="10"/>
    </row>
    <row r="32" spans="2:18" ht="15.95" customHeight="1" x14ac:dyDescent="0.15">
      <c r="B32" s="12"/>
      <c r="C32" s="12"/>
      <c r="D32" s="24"/>
      <c r="E32" s="23"/>
      <c r="G32" s="7"/>
      <c r="H32" s="7"/>
      <c r="I32" s="7"/>
      <c r="J32" s="9"/>
      <c r="N32" s="10"/>
      <c r="O32" s="10"/>
      <c r="P32" s="10"/>
      <c r="Q32" s="10"/>
      <c r="R32" s="10"/>
    </row>
    <row r="33" spans="2:10" ht="24" customHeight="1" x14ac:dyDescent="0.15">
      <c r="B33" s="5" t="s">
        <v>89</v>
      </c>
      <c r="C33" s="12"/>
      <c r="D33" s="12"/>
      <c r="E33" s="13">
        <f>calc!$L$32</f>
        <v>2022</v>
      </c>
      <c r="G33" s="7"/>
      <c r="H33" s="7"/>
      <c r="I33" s="7"/>
      <c r="J33" s="9"/>
    </row>
    <row r="34" spans="2:10" ht="15.95" customHeight="1" x14ac:dyDescent="0.15">
      <c r="B34" s="12" t="str">
        <f>"Avantage de toute nature privé "&amp;calc!L32&amp;" :"</f>
        <v>Avantage de toute nature privé 2022 :</v>
      </c>
      <c r="E34" s="22">
        <f>+D30</f>
        <v>1400</v>
      </c>
      <c r="G34" s="7"/>
      <c r="H34" s="7"/>
      <c r="I34" s="7"/>
      <c r="J34" s="9"/>
    </row>
    <row r="35" spans="2:10" ht="15.95" customHeight="1" x14ac:dyDescent="0.15">
      <c r="B35" s="12" t="str">
        <f>"Dépenses non admises (code 1206) pour la société "&amp;calc!$L$32&amp;" :"</f>
        <v>Dépenses non admises (code 1206) pour la société 2022 :</v>
      </c>
      <c r="C35" s="12"/>
      <c r="D35" s="12"/>
      <c r="E35" s="22">
        <f>+D28*IF(calc!D44="neen",0.17,0.4)</f>
        <v>560</v>
      </c>
      <c r="G35" s="7"/>
      <c r="H35" s="7"/>
      <c r="I35" s="7"/>
      <c r="J35" s="9"/>
    </row>
    <row r="36" spans="2:10" ht="15.95" customHeight="1" x14ac:dyDescent="0.15">
      <c r="B36" s="12"/>
      <c r="C36" s="12"/>
      <c r="D36" s="12"/>
      <c r="E36" s="12"/>
      <c r="G36" s="7"/>
      <c r="H36" s="7"/>
      <c r="I36" s="7"/>
      <c r="J36" s="9"/>
    </row>
    <row r="37" spans="2:10" ht="15.95" customHeight="1" x14ac:dyDescent="0.15">
      <c r="B37" s="12"/>
      <c r="C37" s="12"/>
      <c r="D37" s="12"/>
      <c r="E37" s="12"/>
      <c r="G37" s="7"/>
      <c r="H37" s="7"/>
      <c r="I37" s="7"/>
      <c r="J37" s="9"/>
    </row>
    <row r="38" spans="2:10" ht="30" customHeight="1" x14ac:dyDescent="0.15">
      <c r="B38" s="5" t="s">
        <v>88</v>
      </c>
      <c r="C38" s="12"/>
      <c r="D38" s="12"/>
      <c r="E38" s="12"/>
      <c r="G38" s="7"/>
      <c r="H38" s="7"/>
      <c r="I38" s="7"/>
      <c r="J38" s="9"/>
    </row>
    <row r="39" spans="2:10" ht="15.95" customHeight="1" x14ac:dyDescent="0.15">
      <c r="B39" s="64" t="s">
        <v>96</v>
      </c>
      <c r="C39" s="12"/>
      <c r="D39" s="12"/>
      <c r="E39" s="103">
        <f>calc!$C$49+43000</f>
        <v>44562</v>
      </c>
      <c r="G39" s="25" t="s">
        <v>1</v>
      </c>
      <c r="H39" s="7"/>
      <c r="I39" s="7"/>
      <c r="J39" s="9"/>
    </row>
    <row r="40" spans="2:10" ht="10.5" customHeight="1" x14ac:dyDescent="0.15">
      <c r="B40" s="12"/>
      <c r="C40" s="12"/>
      <c r="D40" s="12"/>
      <c r="E40" s="12"/>
      <c r="G40" s="7"/>
      <c r="H40" s="7"/>
      <c r="I40" s="7"/>
      <c r="J40" s="9"/>
    </row>
    <row r="41" spans="2:10" ht="15.95" customHeight="1" x14ac:dyDescent="0.15">
      <c r="B41" s="11"/>
      <c r="C41" s="12"/>
      <c r="D41" s="13" t="s">
        <v>62</v>
      </c>
      <c r="E41" s="13" t="s">
        <v>63</v>
      </c>
      <c r="G41" s="25" t="s">
        <v>1</v>
      </c>
      <c r="H41" s="7"/>
      <c r="I41" s="7"/>
      <c r="J41" s="9"/>
    </row>
    <row r="42" spans="2:10" ht="15.95" customHeight="1" x14ac:dyDescent="0.15">
      <c r="B42" s="64" t="str">
        <f>"Société jusqu'à l'EI "&amp;calc!$D$49-1&amp;" :"</f>
        <v>Société jusqu'à l'EI 2020 :</v>
      </c>
      <c r="D42" s="72">
        <v>0.75</v>
      </c>
      <c r="E42" s="72">
        <f>HLOOKUP($E$8,calc!$L$26:$Q$28,3,FALSE)</f>
        <v>1.2</v>
      </c>
      <c r="G42" s="7"/>
      <c r="H42" s="7"/>
      <c r="I42" s="7"/>
      <c r="J42" s="9"/>
    </row>
    <row r="43" spans="2:10" ht="15.95" customHeight="1" x14ac:dyDescent="0.15">
      <c r="B43" s="64" t="str">
        <f>"Société depuis l'EI "&amp;calc!$D$49&amp;" :"</f>
        <v>Société depuis l'EI 2021 :</v>
      </c>
      <c r="D43" s="115">
        <f>E43</f>
        <v>1</v>
      </c>
      <c r="E43" s="73">
        <f>calc!L4</f>
        <v>1</v>
      </c>
      <c r="G43" s="7"/>
      <c r="H43" s="7"/>
      <c r="I43" s="7"/>
      <c r="J43" s="9"/>
    </row>
    <row r="44" spans="2:10" ht="9.75" customHeight="1" x14ac:dyDescent="0.15">
      <c r="B44" s="64"/>
      <c r="G44" s="7"/>
      <c r="H44" s="7"/>
      <c r="I44" s="7"/>
      <c r="J44" s="9"/>
    </row>
    <row r="45" spans="2:10" ht="15.95" customHeight="1" x14ac:dyDescent="0.15">
      <c r="B45" s="64" t="s">
        <v>83</v>
      </c>
      <c r="D45" s="73">
        <v>0.75</v>
      </c>
      <c r="E45" s="73">
        <v>0.75</v>
      </c>
      <c r="G45" s="7"/>
      <c r="H45" s="7"/>
      <c r="I45" s="7"/>
      <c r="J45" s="9"/>
    </row>
    <row r="46" spans="2:10" ht="15.95" customHeight="1" x14ac:dyDescent="0.15">
      <c r="B46" s="64" t="s">
        <v>84</v>
      </c>
      <c r="D46" s="73">
        <v>0.75</v>
      </c>
      <c r="E46" s="73">
        <f>HLOOKUP($E$8,calc!$L$26:$Q$28,2,FALSE)</f>
        <v>1.2</v>
      </c>
      <c r="G46" s="7"/>
      <c r="H46" s="7"/>
      <c r="I46" s="7"/>
      <c r="J46" s="9"/>
    </row>
    <row r="47" spans="2:10" ht="15.95" customHeight="1" x14ac:dyDescent="0.15">
      <c r="B47" s="64" t="s">
        <v>85</v>
      </c>
      <c r="D47" s="73">
        <f>E47</f>
        <v>1</v>
      </c>
      <c r="E47" s="73">
        <f>calc!M4</f>
        <v>1</v>
      </c>
      <c r="G47" s="7"/>
      <c r="H47" s="7"/>
      <c r="I47" s="7"/>
      <c r="J47" s="9"/>
    </row>
    <row r="48" spans="2:10" ht="15.95" customHeight="1" x14ac:dyDescent="0.15">
      <c r="B48" s="11"/>
      <c r="C48" s="11"/>
      <c r="D48" s="11"/>
      <c r="E48" s="11"/>
      <c r="G48" s="7"/>
      <c r="H48" s="7"/>
      <c r="I48" s="7"/>
      <c r="J48" s="9"/>
    </row>
    <row r="49" spans="1:10" ht="15.95" customHeight="1" x14ac:dyDescent="0.15">
      <c r="B49" s="11"/>
      <c r="C49" s="126" t="s">
        <v>47</v>
      </c>
      <c r="D49" s="126"/>
      <c r="E49" s="126"/>
      <c r="G49" s="7"/>
      <c r="H49" s="7"/>
      <c r="I49" s="7"/>
      <c r="J49" s="9"/>
    </row>
    <row r="50" spans="1:10" ht="15.95" customHeight="1" x14ac:dyDescent="0.15">
      <c r="G50" s="7"/>
      <c r="H50" s="7"/>
      <c r="I50" s="7"/>
      <c r="J50" s="9"/>
    </row>
    <row r="51" spans="1:10" ht="15.95" customHeight="1" x14ac:dyDescent="0.15">
      <c r="A51" s="9"/>
      <c r="B51" s="9"/>
      <c r="C51" s="9"/>
      <c r="D51" s="9"/>
      <c r="E51" s="9"/>
      <c r="F51" s="9"/>
      <c r="G51" s="9"/>
      <c r="H51" s="9"/>
      <c r="I51" s="9"/>
      <c r="J51" s="9"/>
    </row>
    <row r="52" spans="1:10" ht="15.95" customHeight="1" x14ac:dyDescent="0.15">
      <c r="B52" s="11"/>
      <c r="C52" s="11"/>
      <c r="D52" s="11"/>
      <c r="E52" s="11"/>
    </row>
  </sheetData>
  <sheetProtection algorithmName="SHA-512" hashValue="0EmvlN5ZEr6zgn2qjbe2fZ0zUmQf714D+t029sna7q7ebJUjJLnRA4QtHVafHsWduEea2NEE0dZFeh+HCbdFrw==" saltValue="11DLZ51YRFvXA2NXzEpA+Q==" spinCount="100000" sheet="1" objects="1" scenarios="1"/>
  <mergeCells count="4">
    <mergeCell ref="D28:E28"/>
    <mergeCell ref="D29:E29"/>
    <mergeCell ref="D30:E30"/>
    <mergeCell ref="C49:E49"/>
  </mergeCells>
  <conditionalFormatting sqref="E22:E27">
    <cfRule type="expression" dxfId="11" priority="9" stopIfTrue="1">
      <formula>$G$13=TRUE</formula>
    </cfRule>
  </conditionalFormatting>
  <conditionalFormatting sqref="B29:C32">
    <cfRule type="expression" dxfId="10" priority="11" stopIfTrue="1">
      <formula>$J$13=12</formula>
    </cfRule>
    <cfRule type="expression" dxfId="9" priority="12" stopIfTrue="1">
      <formula>$G$16=TRUE</formula>
    </cfRule>
  </conditionalFormatting>
  <conditionalFormatting sqref="E15">
    <cfRule type="expression" dxfId="8" priority="5">
      <formula>$G$15=FALSE</formula>
    </cfRule>
  </conditionalFormatting>
  <dataValidations count="1">
    <dataValidation allowBlank="1" showInputMessage="1" showErrorMessage="1" prompt="Faites glisser le curseur ou utilisez les flèches pour modifier la date." sqref="E14" xr:uid="{00000000-0002-0000-0100-000000000000}"/>
  </dataValidations>
  <hyperlinks>
    <hyperlink ref="G2" location="Home!A1" tooltip="Home" display="Ç" xr:uid="{00000000-0004-0000-0100-000000000000}"/>
  </hyperlinks>
  <pageMargins left="0.78740157480314965" right="0.78740157480314965" top="0.78740157480314965" bottom="0.78740157480314965" header="0.31496062992125984" footer="0.31496062992125984"/>
  <pageSetup paperSize="9" orientation="portrait" horizontalDpi="300" verticalDpi="300" r:id="rId1"/>
  <headerFooter alignWithMargins="0">
    <oddHeader>&amp;C&amp;Z&amp;F</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from>
                    <xdr:col>4</xdr:col>
                    <xdr:colOff>266700</xdr:colOff>
                    <xdr:row>12</xdr:row>
                    <xdr:rowOff>28575</xdr:rowOff>
                  </from>
                  <to>
                    <xdr:col>4</xdr:col>
                    <xdr:colOff>1038225</xdr:colOff>
                    <xdr:row>13</xdr:row>
                    <xdr:rowOff>0</xdr:rowOff>
                  </to>
                </anchor>
              </controlPr>
            </control>
          </mc:Choice>
        </mc:AlternateContent>
        <mc:AlternateContent xmlns:mc="http://schemas.openxmlformats.org/markup-compatibility/2006">
          <mc:Choice Requires="x14">
            <control shapeId="10242" r:id="rId5" name="Drop Down 2">
              <controlPr defaultSize="0" autoLine="0" autoPict="0">
                <anchor moveWithCells="1">
                  <from>
                    <xdr:col>4</xdr:col>
                    <xdr:colOff>1038225</xdr:colOff>
                    <xdr:row>12</xdr:row>
                    <xdr:rowOff>19050</xdr:rowOff>
                  </from>
                  <to>
                    <xdr:col>5</xdr:col>
                    <xdr:colOff>0</xdr:colOff>
                    <xdr:row>12</xdr:row>
                    <xdr:rowOff>190500</xdr:rowOff>
                  </to>
                </anchor>
              </controlPr>
            </control>
          </mc:Choice>
        </mc:AlternateContent>
        <mc:AlternateContent xmlns:mc="http://schemas.openxmlformats.org/markup-compatibility/2006">
          <mc:Choice Requires="x14">
            <control shapeId="10247" r:id="rId6" name="Drop Down 7">
              <controlPr defaultSize="0" autoLine="0" autoPict="0">
                <anchor moveWithCells="1">
                  <from>
                    <xdr:col>4</xdr:col>
                    <xdr:colOff>0</xdr:colOff>
                    <xdr:row>15</xdr:row>
                    <xdr:rowOff>19050</xdr:rowOff>
                  </from>
                  <to>
                    <xdr:col>5</xdr:col>
                    <xdr:colOff>0</xdr:colOff>
                    <xdr:row>16</xdr:row>
                    <xdr:rowOff>0</xdr:rowOff>
                  </to>
                </anchor>
              </controlPr>
            </control>
          </mc:Choice>
        </mc:AlternateContent>
        <mc:AlternateContent xmlns:mc="http://schemas.openxmlformats.org/markup-compatibility/2006">
          <mc:Choice Requires="x14">
            <control shapeId="10253" r:id="rId7" name="Drop Down 13">
              <controlPr defaultSize="0" autoLine="0" autoPict="0">
                <anchor moveWithCells="1">
                  <from>
                    <xdr:col>3</xdr:col>
                    <xdr:colOff>1447800</xdr:colOff>
                    <xdr:row>12</xdr:row>
                    <xdr:rowOff>28575</xdr:rowOff>
                  </from>
                  <to>
                    <xdr:col>4</xdr:col>
                    <xdr:colOff>247650</xdr:colOff>
                    <xdr:row>13</xdr:row>
                    <xdr:rowOff>0</xdr:rowOff>
                  </to>
                </anchor>
              </controlPr>
            </control>
          </mc:Choice>
        </mc:AlternateContent>
        <mc:AlternateContent xmlns:mc="http://schemas.openxmlformats.org/markup-compatibility/2006">
          <mc:Choice Requires="x14">
            <control shapeId="10254" r:id="rId8" name="Scroll Bar 14">
              <controlPr defaultSize="0" autoPict="0">
                <anchor moveWithCells="1">
                  <from>
                    <xdr:col>4</xdr:col>
                    <xdr:colOff>19050</xdr:colOff>
                    <xdr:row>14</xdr:row>
                    <xdr:rowOff>19050</xdr:rowOff>
                  </from>
                  <to>
                    <xdr:col>4</xdr:col>
                    <xdr:colOff>704850</xdr:colOff>
                    <xdr:row>14</xdr:row>
                    <xdr:rowOff>180975</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from>
                    <xdr:col>1</xdr:col>
                    <xdr:colOff>47625</xdr:colOff>
                    <xdr:row>14</xdr:row>
                    <xdr:rowOff>9525</xdr:rowOff>
                  </from>
                  <to>
                    <xdr:col>1</xdr:col>
                    <xdr:colOff>238125</xdr:colOff>
                    <xdr:row>15</xdr:row>
                    <xdr:rowOff>0</xdr:rowOff>
                  </to>
                </anchor>
              </controlPr>
            </control>
          </mc:Choice>
        </mc:AlternateContent>
        <mc:AlternateContent xmlns:mc="http://schemas.openxmlformats.org/markup-compatibility/2006">
          <mc:Choice Requires="x14">
            <control shapeId="10257" r:id="rId10" name="Check Box 17">
              <controlPr defaultSize="0" autoFill="0" autoLine="0" autoPict="0">
                <anchor moveWithCells="1">
                  <from>
                    <xdr:col>2</xdr:col>
                    <xdr:colOff>1619250</xdr:colOff>
                    <xdr:row>6</xdr:row>
                    <xdr:rowOff>180975</xdr:rowOff>
                  </from>
                  <to>
                    <xdr:col>3</xdr:col>
                    <xdr:colOff>180975</xdr:colOff>
                    <xdr:row>8</xdr:row>
                    <xdr:rowOff>19050</xdr:rowOff>
                  </to>
                </anchor>
              </controlPr>
            </control>
          </mc:Choice>
        </mc:AlternateContent>
        <mc:AlternateContent xmlns:mc="http://schemas.openxmlformats.org/markup-compatibility/2006">
          <mc:Choice Requires="x14">
            <control shapeId="10261" r:id="rId11" name="Scroll Bar 21">
              <controlPr defaultSize="0" autoPict="0">
                <anchor moveWithCells="1">
                  <from>
                    <xdr:col>4</xdr:col>
                    <xdr:colOff>19050</xdr:colOff>
                    <xdr:row>13</xdr:row>
                    <xdr:rowOff>19050</xdr:rowOff>
                  </from>
                  <to>
                    <xdr:col>4</xdr:col>
                    <xdr:colOff>704850</xdr:colOff>
                    <xdr:row>13</xdr:row>
                    <xdr:rowOff>180975</xdr:rowOff>
                  </to>
                </anchor>
              </controlPr>
            </control>
          </mc:Choice>
        </mc:AlternateContent>
        <mc:AlternateContent xmlns:mc="http://schemas.openxmlformats.org/markup-compatibility/2006">
          <mc:Choice Requires="x14">
            <control shapeId="10264" r:id="rId12" name="Drop Down 24">
              <controlPr defaultSize="0" autoLine="0" autoPict="0">
                <anchor moveWithCells="1">
                  <from>
                    <xdr:col>4</xdr:col>
                    <xdr:colOff>38100</xdr:colOff>
                    <xdr:row>8</xdr:row>
                    <xdr:rowOff>19050</xdr:rowOff>
                  </from>
                  <to>
                    <xdr:col>4</xdr:col>
                    <xdr:colOff>1571625</xdr:colOff>
                    <xdr:row>8</xdr:row>
                    <xdr:rowOff>190500</xdr:rowOff>
                  </to>
                </anchor>
              </controlPr>
            </control>
          </mc:Choice>
        </mc:AlternateContent>
        <mc:AlternateContent xmlns:mc="http://schemas.openxmlformats.org/markup-compatibility/2006">
          <mc:Choice Requires="x14">
            <control shapeId="10268" r:id="rId13" name="Scroll Bar 28">
              <controlPr defaultSize="0" autoPict="0">
                <anchor moveWithCells="1">
                  <from>
                    <xdr:col>4</xdr:col>
                    <xdr:colOff>9525</xdr:colOff>
                    <xdr:row>38</xdr:row>
                    <xdr:rowOff>19050</xdr:rowOff>
                  </from>
                  <to>
                    <xdr:col>4</xdr:col>
                    <xdr:colOff>695325</xdr:colOff>
                    <xdr:row>38</xdr:row>
                    <xdr:rowOff>180975</xdr:rowOff>
                  </to>
                </anchor>
              </controlPr>
            </control>
          </mc:Choice>
        </mc:AlternateContent>
        <mc:AlternateContent xmlns:mc="http://schemas.openxmlformats.org/markup-compatibility/2006">
          <mc:Choice Requires="x14">
            <control shapeId="10269" r:id="rId14" name="Drop Down 29">
              <controlPr defaultSize="0" autoFill="0" autoLine="0" autoPict="0">
                <anchor moveWithCells="1" sizeWithCells="1">
                  <from>
                    <xdr:col>3</xdr:col>
                    <xdr:colOff>1581150</xdr:colOff>
                    <xdr:row>4</xdr:row>
                    <xdr:rowOff>9525</xdr:rowOff>
                  </from>
                  <to>
                    <xdr:col>5</xdr:col>
                    <xdr:colOff>28575</xdr:colOff>
                    <xdr:row>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stopIfTrue="1" id="{00000000-000E-0000-0100-000009000000}">
            <xm:f>AND($G$13=FALSE,OR($J$13=0,MIN(calc!$D$5,calc!$B$6)=0))</xm:f>
            <x14:dxf>
              <font>
                <condense val="0"/>
                <extend val="0"/>
                <color indexed="53"/>
              </font>
              <fill>
                <patternFill>
                  <bgColor indexed="53"/>
                </patternFill>
              </fill>
            </x14:dxf>
          </x14:cfRule>
          <xm:sqref>D22:D27</xm:sqref>
        </x14:conditionalFormatting>
        <x14:conditionalFormatting xmlns:xm="http://schemas.microsoft.com/office/excel/2006/main">
          <x14:cfRule type="expression" priority="4" id="{DADC6590-9C8F-4962-A22E-35D48C0A83C7}">
            <xm:f>OR($H$8=FALSE,calc!$H$4&lt;2018,$E$8=calc!$M$6)</xm:f>
            <x14:dxf>
              <font>
                <color theme="0"/>
              </font>
              <fill>
                <patternFill patternType="none">
                  <bgColor auto="1"/>
                </patternFill>
              </fill>
            </x14:dxf>
          </x14:cfRule>
          <xm:sqref>B11 E11</xm:sqref>
        </x14:conditionalFormatting>
        <x14:conditionalFormatting xmlns:xm="http://schemas.microsoft.com/office/excel/2006/main">
          <x14:cfRule type="expression" priority="14" stopIfTrue="1" id="{00000000-000E-0000-0100-000004000000}">
            <xm:f>calc!$D$6=0</xm:f>
            <x14:dxf>
              <font>
                <condense val="0"/>
                <extend val="0"/>
                <color indexed="53"/>
              </font>
              <fill>
                <patternFill>
                  <bgColor indexed="53"/>
                </patternFill>
              </fill>
            </x14:dxf>
          </x14:cfRule>
          <xm:sqref>E22:E27</xm:sqref>
        </x14:conditionalFormatting>
        <x14:conditionalFormatting xmlns:xm="http://schemas.microsoft.com/office/excel/2006/main">
          <x14:cfRule type="expression" priority="1" id="{DEB7EFAA-C1B8-42FB-A667-1C10804A8F43}">
            <xm:f>$E$8=calc!$M$6</xm:f>
            <x14:dxf>
              <fill>
                <patternFill patternType="gray125"/>
              </fill>
              <border>
                <left/>
                <right/>
                <top/>
                <bottom/>
              </border>
            </x14:dxf>
          </x14:cfRule>
          <xm:sqref>D8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calc!$K$6:$P$6</xm:f>
          </x14:formula1>
          <xm:sqref>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pageSetUpPr autoPageBreaks="0"/>
  </sheetPr>
  <dimension ref="A1:T51"/>
  <sheetViews>
    <sheetView showGridLines="0" showRowColHeaders="0" zoomScale="90" zoomScaleNormal="90" workbookViewId="0">
      <selection activeCell="M41" sqref="M41"/>
    </sheetView>
  </sheetViews>
  <sheetFormatPr defaultColWidth="15.5703125" defaultRowHeight="15" customHeight="1" x14ac:dyDescent="0.15"/>
  <cols>
    <col min="1" max="1" width="15.5703125" style="27"/>
    <col min="2" max="2" width="15.5703125" style="27" customWidth="1"/>
    <col min="3" max="3" width="16.42578125" style="27" customWidth="1"/>
    <col min="4" max="4" width="15.5703125" style="28" customWidth="1"/>
    <col min="5" max="5" width="15.5703125" style="27"/>
    <col min="6" max="10" width="9.7109375" style="27" customWidth="1"/>
    <col min="11" max="11" width="17.42578125" style="27" customWidth="1"/>
    <col min="12" max="12" width="22" style="27" customWidth="1"/>
    <col min="13" max="15" width="15.5703125" style="27"/>
    <col min="16" max="16" width="18" style="27" customWidth="1"/>
    <col min="17" max="16384" width="15.5703125" style="27"/>
  </cols>
  <sheetData>
    <row r="1" spans="1:19" ht="15" customHeight="1" x14ac:dyDescent="0.15">
      <c r="C1" s="53" t="s">
        <v>18</v>
      </c>
      <c r="D1" s="27" t="s">
        <v>10</v>
      </c>
      <c r="G1" s="56"/>
    </row>
    <row r="2" spans="1:19" ht="15" customHeight="1" x14ac:dyDescent="0.15">
      <c r="A2" s="27" t="s">
        <v>19</v>
      </c>
      <c r="B2" s="57">
        <f>DATE($D$33,calc!C10,E9)</f>
        <v>44562</v>
      </c>
      <c r="D2" s="27"/>
      <c r="G2" s="56"/>
      <c r="K2" s="129" t="s">
        <v>29</v>
      </c>
      <c r="L2" s="130"/>
      <c r="M2" s="130"/>
      <c r="N2" s="130"/>
      <c r="O2" s="131"/>
    </row>
    <row r="3" spans="1:19" ht="15" customHeight="1" x14ac:dyDescent="0.15">
      <c r="B3" s="39"/>
      <c r="C3" s="44">
        <v>0</v>
      </c>
      <c r="D3" s="44">
        <v>1</v>
      </c>
      <c r="G3" s="55"/>
      <c r="H3" s="1" t="s">
        <v>15</v>
      </c>
      <c r="K3" s="71" t="s">
        <v>28</v>
      </c>
      <c r="L3" s="27" t="s">
        <v>22</v>
      </c>
      <c r="M3" s="27" t="s">
        <v>23</v>
      </c>
    </row>
    <row r="4" spans="1:19" ht="15" customHeight="1" x14ac:dyDescent="0.15">
      <c r="B4" s="43">
        <f>DATE($L$32,calc!C10,IF('1'!G13=TRUE,E9,1))-1</f>
        <v>44561</v>
      </c>
      <c r="C4" s="43">
        <f>IF(YEAR('1'!$E$14)=$L$32,DATE(YEAR('1'!$E$14),MONTH('1'!E14),DAY('1'!E14))-1,B5)</f>
        <v>44561</v>
      </c>
      <c r="D4" s="39">
        <f>'1'!$E$15</f>
        <v>44562</v>
      </c>
      <c r="G4" s="44">
        <v>2</v>
      </c>
      <c r="H4" s="51">
        <f>IF(OR($L$32=2017,G4=1),2017,2018)</f>
        <v>2018</v>
      </c>
      <c r="K4" s="50" t="s">
        <v>12</v>
      </c>
      <c r="L4" s="84">
        <f>IF($K$5=$M$6,100,IF(IF(AND($H$4&gt;=2018,'1'!$H$8=TRUE),coot2,coot)&gt;=200,40,MAX(50,MIN(100,120-(0.5*HLOOKUP(K5,K6:P7,2,FALSE)*IF(AND($H$4&gt;=2018,'1'!$H$8=TRUE),coot2,coot))))))/100</f>
        <v>1</v>
      </c>
      <c r="M4" s="84">
        <f>IF($K$5=$M$6,100,IF(IF(AND($H$4&gt;=2018,'1'!$H$8=TRUE),coot2,coot)&gt;=200,40,MAX(IF($H$4&lt;2018,75,50),MIN(100,120-(0.5*HLOOKUP($K$5,$K$6:$P$7,2,FALSE)*IF(AND($H$4&gt;=2018,'1'!$H$8=TRUE),coot2,coot))))))/100</f>
        <v>1</v>
      </c>
    </row>
    <row r="5" spans="1:19" ht="15" customHeight="1" x14ac:dyDescent="0.15">
      <c r="B5" s="39">
        <f>DATE($L$32,1,1)-1</f>
        <v>44561</v>
      </c>
      <c r="C5" s="39">
        <f>DATE($L$32,1,1)-1</f>
        <v>44561</v>
      </c>
      <c r="D5" s="42">
        <f>IF('1'!$G$15=TRUE,MAX(0,$D$4-calc!$C$4-1),$Q$33-$C$6)</f>
        <v>365</v>
      </c>
      <c r="G5" s="55">
        <v>1</v>
      </c>
      <c r="H5" s="52" t="s">
        <v>16</v>
      </c>
      <c r="K5" s="28" t="str">
        <f>'1'!E8</f>
        <v>Essence</v>
      </c>
    </row>
    <row r="6" spans="1:19" ht="15" customHeight="1" x14ac:dyDescent="0.15">
      <c r="A6" s="61" t="s">
        <v>20</v>
      </c>
      <c r="B6" s="60">
        <f>MAX(0,B4-B5-C6)</f>
        <v>0</v>
      </c>
      <c r="C6" s="27">
        <f>C4-C5</f>
        <v>0</v>
      </c>
      <c r="D6" s="62">
        <f>MAX(0,D5-B6)</f>
        <v>365</v>
      </c>
      <c r="G6" s="55">
        <v>2</v>
      </c>
      <c r="H6" s="52" t="str">
        <f>IF($L$32&lt;2018,"",IF($L$32&lt;2019,"2018","2018 ou après"))</f>
        <v>2018 ou après</v>
      </c>
      <c r="K6" s="46" t="s">
        <v>4</v>
      </c>
      <c r="L6" s="46" t="s">
        <v>69</v>
      </c>
      <c r="M6" s="46" t="s">
        <v>70</v>
      </c>
      <c r="N6" s="46" t="s">
        <v>11</v>
      </c>
      <c r="O6" s="46" t="s">
        <v>71</v>
      </c>
      <c r="P6" s="46" t="s">
        <v>72</v>
      </c>
    </row>
    <row r="7" spans="1:19" ht="15" customHeight="1" x14ac:dyDescent="0.15">
      <c r="B7" s="58"/>
      <c r="C7" s="31"/>
      <c r="D7" s="59"/>
      <c r="E7" s="31"/>
      <c r="K7" s="47">
        <v>1</v>
      </c>
      <c r="L7" s="47">
        <v>0.95</v>
      </c>
      <c r="M7" s="48">
        <v>0.9</v>
      </c>
      <c r="N7" s="48">
        <f>L7</f>
        <v>0.95</v>
      </c>
      <c r="O7" s="48">
        <v>0.9</v>
      </c>
      <c r="P7" s="27">
        <v>0.95</v>
      </c>
    </row>
    <row r="8" spans="1:19" ht="15" customHeight="1" x14ac:dyDescent="0.15">
      <c r="C8" s="127" t="s">
        <v>17</v>
      </c>
      <c r="D8" s="127"/>
      <c r="E8" s="127"/>
      <c r="F8" s="127"/>
      <c r="G8" s="127"/>
      <c r="H8" s="127"/>
      <c r="I8" s="127"/>
      <c r="J8" s="127"/>
      <c r="K8" s="47"/>
      <c r="L8" s="47"/>
      <c r="M8" s="48"/>
      <c r="N8" s="48"/>
      <c r="O8" s="48"/>
    </row>
    <row r="9" spans="1:19" ht="15" customHeight="1" x14ac:dyDescent="0.15">
      <c r="C9" s="31"/>
      <c r="D9" s="32"/>
      <c r="E9" s="44">
        <v>1</v>
      </c>
      <c r="L9" s="28"/>
      <c r="M9" s="28"/>
      <c r="N9" s="28"/>
    </row>
    <row r="10" spans="1:19" ht="15" customHeight="1" x14ac:dyDescent="0.15">
      <c r="C10" s="44">
        <v>1</v>
      </c>
      <c r="D10" s="32">
        <f>+C10-1</f>
        <v>0</v>
      </c>
      <c r="E10" s="31" t="str">
        <f>VLOOKUP(C10,C11:E22,3)</f>
        <v>dagen31</v>
      </c>
      <c r="F10" s="27" t="s">
        <v>7</v>
      </c>
      <c r="G10" s="27" t="s">
        <v>8</v>
      </c>
      <c r="H10" s="27" t="s">
        <v>6</v>
      </c>
      <c r="I10" s="27" t="s">
        <v>9</v>
      </c>
      <c r="K10" s="71" t="s">
        <v>34</v>
      </c>
      <c r="L10" s="50"/>
      <c r="M10" s="50"/>
      <c r="N10" s="50"/>
      <c r="O10" s="50"/>
      <c r="P10" s="50"/>
      <c r="Q10" s="50"/>
      <c r="R10"/>
      <c r="S10"/>
    </row>
    <row r="11" spans="1:19" ht="15" customHeight="1" x14ac:dyDescent="0.15">
      <c r="C11" s="31">
        <v>1</v>
      </c>
      <c r="D11" s="32" t="s">
        <v>48</v>
      </c>
      <c r="E11" s="31" t="s">
        <v>6</v>
      </c>
      <c r="F11" s="27">
        <v>1</v>
      </c>
      <c r="G11" s="27">
        <v>1</v>
      </c>
      <c r="H11" s="27">
        <v>1</v>
      </c>
      <c r="I11" s="27">
        <f ca="1">INDIRECT($E$10,)</f>
        <v>1</v>
      </c>
      <c r="K11" s="50"/>
      <c r="L11" s="46" t="s">
        <v>24</v>
      </c>
      <c r="M11" s="46" t="s">
        <v>25</v>
      </c>
      <c r="N11" s="46"/>
      <c r="O11" s="50"/>
      <c r="P11" s="50"/>
      <c r="Q11" s="50"/>
      <c r="R11"/>
      <c r="S11"/>
    </row>
    <row r="12" spans="1:19" ht="15" customHeight="1" x14ac:dyDescent="0.15">
      <c r="C12" s="31">
        <v>2</v>
      </c>
      <c r="D12" s="32" t="s">
        <v>49</v>
      </c>
      <c r="E12" s="31" t="s">
        <v>7</v>
      </c>
      <c r="F12" s="27">
        <v>2</v>
      </c>
      <c r="G12" s="27">
        <v>2</v>
      </c>
      <c r="H12" s="27">
        <v>2</v>
      </c>
      <c r="I12" s="27">
        <f t="shared" ref="I12:I41" ca="1" si="0">INDIRECT($E$10,)</f>
        <v>2</v>
      </c>
      <c r="K12" s="50">
        <v>0</v>
      </c>
      <c r="L12" s="65">
        <v>1.2</v>
      </c>
      <c r="M12" s="65">
        <v>1.2</v>
      </c>
      <c r="N12" s="65"/>
      <c r="O12" s="50"/>
      <c r="P12" s="50"/>
      <c r="Q12" s="50"/>
      <c r="R12"/>
      <c r="S12"/>
    </row>
    <row r="13" spans="1:19" ht="15" customHeight="1" x14ac:dyDescent="0.15">
      <c r="C13" s="31">
        <v>3</v>
      </c>
      <c r="D13" s="32" t="s">
        <v>50</v>
      </c>
      <c r="E13" s="31" t="s">
        <v>6</v>
      </c>
      <c r="F13" s="27">
        <v>3</v>
      </c>
      <c r="G13" s="27">
        <v>3</v>
      </c>
      <c r="H13" s="27">
        <v>3</v>
      </c>
      <c r="I13" s="27">
        <f t="shared" ca="1" si="0"/>
        <v>3</v>
      </c>
      <c r="K13" s="50">
        <v>1</v>
      </c>
      <c r="L13" s="65">
        <v>1</v>
      </c>
      <c r="M13" s="65">
        <v>1</v>
      </c>
      <c r="N13" s="50"/>
      <c r="O13" s="50"/>
      <c r="P13" s="50"/>
      <c r="Q13" s="50"/>
      <c r="R13"/>
      <c r="S13"/>
    </row>
    <row r="14" spans="1:19" ht="15" customHeight="1" x14ac:dyDescent="0.15">
      <c r="C14" s="31">
        <v>4</v>
      </c>
      <c r="D14" s="32" t="s">
        <v>51</v>
      </c>
      <c r="E14" s="31" t="s">
        <v>8</v>
      </c>
      <c r="F14" s="27">
        <v>4</v>
      </c>
      <c r="G14" s="27">
        <v>4</v>
      </c>
      <c r="H14" s="27">
        <v>4</v>
      </c>
      <c r="I14" s="27">
        <f t="shared" ca="1" si="0"/>
        <v>4</v>
      </c>
      <c r="K14" s="50">
        <v>61</v>
      </c>
      <c r="L14" s="65">
        <v>0.9</v>
      </c>
      <c r="M14" s="65">
        <v>0.9</v>
      </c>
      <c r="N14" s="50"/>
      <c r="O14" s="50"/>
      <c r="P14" s="50"/>
      <c r="Q14" s="50"/>
      <c r="R14"/>
      <c r="S14"/>
    </row>
    <row r="15" spans="1:19" ht="15" customHeight="1" x14ac:dyDescent="0.15">
      <c r="C15" s="31">
        <v>5</v>
      </c>
      <c r="D15" s="32" t="s">
        <v>52</v>
      </c>
      <c r="E15" s="31" t="s">
        <v>6</v>
      </c>
      <c r="F15" s="27">
        <v>5</v>
      </c>
      <c r="G15" s="27">
        <v>5</v>
      </c>
      <c r="H15" s="27">
        <v>5</v>
      </c>
      <c r="I15" s="27">
        <f t="shared" ca="1" si="0"/>
        <v>5</v>
      </c>
      <c r="K15" s="50">
        <v>106</v>
      </c>
      <c r="L15" s="65">
        <v>0.8</v>
      </c>
      <c r="M15" s="65">
        <v>0.8</v>
      </c>
      <c r="N15" s="50"/>
      <c r="O15" s="50"/>
      <c r="P15" s="50"/>
      <c r="Q15" s="50"/>
      <c r="R15"/>
      <c r="S15"/>
    </row>
    <row r="16" spans="1:19" ht="15" customHeight="1" x14ac:dyDescent="0.15">
      <c r="C16" s="31">
        <v>6</v>
      </c>
      <c r="D16" s="32" t="s">
        <v>53</v>
      </c>
      <c r="E16" s="31" t="s">
        <v>8</v>
      </c>
      <c r="F16" s="27">
        <v>6</v>
      </c>
      <c r="G16" s="27">
        <v>6</v>
      </c>
      <c r="H16" s="27">
        <v>6</v>
      </c>
      <c r="I16" s="27">
        <f t="shared" ca="1" si="0"/>
        <v>6</v>
      </c>
      <c r="K16" s="50">
        <v>116</v>
      </c>
      <c r="L16" s="65">
        <v>0.75</v>
      </c>
      <c r="M16" s="65">
        <v>0.8</v>
      </c>
      <c r="N16" s="50"/>
      <c r="O16" s="50"/>
      <c r="P16" s="50"/>
      <c r="Q16" s="50"/>
      <c r="R16"/>
      <c r="S16"/>
    </row>
    <row r="17" spans="3:20" ht="15" customHeight="1" x14ac:dyDescent="0.15">
      <c r="C17" s="31">
        <v>7</v>
      </c>
      <c r="D17" s="32" t="s">
        <v>54</v>
      </c>
      <c r="E17" s="31" t="s">
        <v>6</v>
      </c>
      <c r="F17" s="27">
        <v>7</v>
      </c>
      <c r="G17" s="27">
        <v>7</v>
      </c>
      <c r="H17" s="27">
        <v>7</v>
      </c>
      <c r="I17" s="27">
        <f t="shared" ca="1" si="0"/>
        <v>7</v>
      </c>
      <c r="K17" s="50">
        <v>126</v>
      </c>
      <c r="L17" s="65">
        <v>0.75</v>
      </c>
      <c r="M17" s="65">
        <v>0.75</v>
      </c>
      <c r="N17" s="50"/>
      <c r="O17" s="50"/>
      <c r="P17" s="50"/>
      <c r="Q17" s="50"/>
      <c r="R17"/>
      <c r="S17"/>
    </row>
    <row r="18" spans="3:20" ht="15" customHeight="1" x14ac:dyDescent="0.15">
      <c r="C18" s="31">
        <v>8</v>
      </c>
      <c r="D18" s="32" t="s">
        <v>55</v>
      </c>
      <c r="E18" s="31" t="s">
        <v>6</v>
      </c>
      <c r="F18" s="27">
        <v>8</v>
      </c>
      <c r="G18" s="27">
        <v>8</v>
      </c>
      <c r="H18" s="27">
        <v>8</v>
      </c>
      <c r="I18" s="27">
        <f t="shared" ca="1" si="0"/>
        <v>8</v>
      </c>
      <c r="K18" s="50">
        <v>146</v>
      </c>
      <c r="L18" s="65">
        <v>0.7</v>
      </c>
      <c r="M18" s="65">
        <v>0.75</v>
      </c>
      <c r="N18" s="50"/>
      <c r="O18" s="50"/>
      <c r="P18" s="50"/>
      <c r="Q18" s="50"/>
      <c r="R18"/>
      <c r="S18"/>
    </row>
    <row r="19" spans="3:20" ht="15" customHeight="1" x14ac:dyDescent="0.15">
      <c r="C19" s="31">
        <v>9</v>
      </c>
      <c r="D19" s="32" t="s">
        <v>56</v>
      </c>
      <c r="E19" s="31" t="s">
        <v>8</v>
      </c>
      <c r="F19" s="27">
        <v>9</v>
      </c>
      <c r="G19" s="27">
        <v>9</v>
      </c>
      <c r="H19" s="27">
        <v>9</v>
      </c>
      <c r="I19" s="27">
        <f t="shared" ca="1" si="0"/>
        <v>9</v>
      </c>
      <c r="K19" s="50">
        <v>156</v>
      </c>
      <c r="L19" s="65">
        <v>0.7</v>
      </c>
      <c r="M19" s="65">
        <v>0.7</v>
      </c>
      <c r="N19" s="50"/>
      <c r="O19" s="50"/>
      <c r="P19" s="50"/>
      <c r="Q19" s="50"/>
      <c r="R19"/>
      <c r="S19"/>
    </row>
    <row r="20" spans="3:20" ht="15" customHeight="1" x14ac:dyDescent="0.15">
      <c r="C20" s="31">
        <v>10</v>
      </c>
      <c r="D20" s="32" t="s">
        <v>57</v>
      </c>
      <c r="E20" s="31" t="s">
        <v>6</v>
      </c>
      <c r="F20" s="27">
        <v>10</v>
      </c>
      <c r="G20" s="27">
        <v>10</v>
      </c>
      <c r="H20" s="27">
        <v>10</v>
      </c>
      <c r="I20" s="27">
        <f t="shared" ca="1" si="0"/>
        <v>10</v>
      </c>
      <c r="K20" s="50">
        <v>171</v>
      </c>
      <c r="L20" s="65">
        <v>0.6</v>
      </c>
      <c r="M20" s="65">
        <v>0.7</v>
      </c>
      <c r="N20" s="50"/>
      <c r="O20" s="50"/>
      <c r="P20" s="50"/>
      <c r="Q20" s="50"/>
      <c r="R20"/>
      <c r="S20"/>
    </row>
    <row r="21" spans="3:20" ht="15" customHeight="1" x14ac:dyDescent="0.15">
      <c r="C21" s="31">
        <v>11</v>
      </c>
      <c r="D21" s="32" t="s">
        <v>58</v>
      </c>
      <c r="E21" s="31" t="s">
        <v>8</v>
      </c>
      <c r="F21" s="27">
        <v>11</v>
      </c>
      <c r="G21" s="27">
        <v>11</v>
      </c>
      <c r="H21" s="27">
        <v>11</v>
      </c>
      <c r="I21" s="27">
        <f t="shared" ca="1" si="0"/>
        <v>11</v>
      </c>
      <c r="K21" s="50">
        <v>181</v>
      </c>
      <c r="L21" s="65">
        <v>0.6</v>
      </c>
      <c r="M21" s="65">
        <v>0.6</v>
      </c>
      <c r="N21" s="50"/>
      <c r="O21" s="50"/>
      <c r="P21" s="50"/>
      <c r="Q21" s="50"/>
      <c r="R21"/>
      <c r="S21"/>
    </row>
    <row r="22" spans="3:20" ht="15" customHeight="1" x14ac:dyDescent="0.15">
      <c r="C22" s="31">
        <v>12</v>
      </c>
      <c r="D22" s="32" t="s">
        <v>59</v>
      </c>
      <c r="E22" s="31" t="s">
        <v>6</v>
      </c>
      <c r="F22" s="27">
        <v>12</v>
      </c>
      <c r="G22" s="27">
        <v>12</v>
      </c>
      <c r="H22" s="27">
        <v>12</v>
      </c>
      <c r="I22" s="27">
        <f t="shared" ca="1" si="0"/>
        <v>12</v>
      </c>
      <c r="K22" s="50">
        <v>196</v>
      </c>
      <c r="L22" s="65">
        <v>0.5</v>
      </c>
      <c r="M22" s="65">
        <v>0.6</v>
      </c>
      <c r="N22" s="50"/>
      <c r="O22" s="50"/>
      <c r="P22" s="50"/>
      <c r="Q22" s="50"/>
      <c r="R22"/>
      <c r="S22"/>
    </row>
    <row r="23" spans="3:20" ht="15" customHeight="1" x14ac:dyDescent="0.15">
      <c r="C23" s="31"/>
      <c r="D23" s="32"/>
      <c r="E23" s="31"/>
      <c r="F23" s="27">
        <v>13</v>
      </c>
      <c r="G23" s="27">
        <v>13</v>
      </c>
      <c r="H23" s="27">
        <v>13</v>
      </c>
      <c r="I23" s="27">
        <f t="shared" ca="1" si="0"/>
        <v>13</v>
      </c>
      <c r="K23" s="50">
        <v>206</v>
      </c>
      <c r="L23" s="65">
        <v>0.5</v>
      </c>
      <c r="M23" s="65">
        <v>0.5</v>
      </c>
      <c r="N23" s="50"/>
      <c r="O23" s="50"/>
      <c r="P23" s="50"/>
      <c r="Q23" s="50"/>
      <c r="R23"/>
      <c r="S23"/>
    </row>
    <row r="24" spans="3:20" ht="15" customHeight="1" x14ac:dyDescent="0.15">
      <c r="C24" s="31"/>
      <c r="D24" s="32"/>
      <c r="E24" s="31"/>
      <c r="F24" s="27">
        <v>14</v>
      </c>
      <c r="G24" s="27">
        <v>14</v>
      </c>
      <c r="H24" s="27">
        <v>14</v>
      </c>
      <c r="I24" s="27">
        <f t="shared" ca="1" si="0"/>
        <v>14</v>
      </c>
      <c r="K24" s="50"/>
      <c r="L24" s="50"/>
      <c r="M24" s="50"/>
      <c r="N24" s="50"/>
      <c r="O24" s="50"/>
      <c r="P24" s="50"/>
      <c r="Q24" s="50"/>
      <c r="R24"/>
      <c r="S24"/>
    </row>
    <row r="25" spans="3:20" ht="15" customHeight="1" x14ac:dyDescent="0.15">
      <c r="C25" s="31"/>
      <c r="D25" s="32"/>
      <c r="E25" s="31"/>
      <c r="F25" s="27">
        <v>15</v>
      </c>
      <c r="G25" s="27">
        <v>15</v>
      </c>
      <c r="H25" s="27">
        <v>15</v>
      </c>
      <c r="I25" s="27">
        <f t="shared" ca="1" si="0"/>
        <v>15</v>
      </c>
      <c r="K25" s="66" t="s">
        <v>26</v>
      </c>
      <c r="L25" s="128" t="s">
        <v>12</v>
      </c>
      <c r="M25" s="128"/>
      <c r="N25" s="128"/>
      <c r="O25" s="128"/>
      <c r="P25" s="128"/>
      <c r="Q25" s="74"/>
      <c r="R25"/>
      <c r="S25"/>
    </row>
    <row r="26" spans="3:20" ht="15" customHeight="1" x14ac:dyDescent="0.15">
      <c r="C26" s="31"/>
      <c r="D26" s="32"/>
      <c r="E26" s="31"/>
      <c r="F26" s="27">
        <v>16</v>
      </c>
      <c r="G26" s="27">
        <v>16</v>
      </c>
      <c r="H26" s="27">
        <v>16</v>
      </c>
      <c r="I26" s="27">
        <f t="shared" ca="1" si="0"/>
        <v>16</v>
      </c>
      <c r="K26" s="28" t="str">
        <f>'1'!E8</f>
        <v>Essence</v>
      </c>
      <c r="L26" s="46" t="str">
        <f>K6</f>
        <v>Diesel</v>
      </c>
      <c r="M26" s="46" t="str">
        <f t="shared" ref="M26:Q26" si="1">L6</f>
        <v>Essence</v>
      </c>
      <c r="N26" s="46" t="str">
        <f t="shared" si="1"/>
        <v>Électricité</v>
      </c>
      <c r="O26" s="46" t="str">
        <f t="shared" si="1"/>
        <v>LPG</v>
      </c>
      <c r="P26" s="46" t="str">
        <f t="shared" si="1"/>
        <v>CNG (gaz naturel) &lt; 12 cf</v>
      </c>
      <c r="Q26" s="46" t="str">
        <f t="shared" si="1"/>
        <v>CNG (gaz naturel) &gt;= 12 cf</v>
      </c>
      <c r="R26"/>
      <c r="S26"/>
    </row>
    <row r="27" spans="3:20" ht="15" customHeight="1" x14ac:dyDescent="0.15">
      <c r="C27" s="31"/>
      <c r="D27" s="32"/>
      <c r="E27" s="31"/>
      <c r="F27" s="27">
        <v>17</v>
      </c>
      <c r="G27" s="27">
        <v>17</v>
      </c>
      <c r="H27" s="27">
        <v>17</v>
      </c>
      <c r="I27" s="27">
        <f t="shared" ca="1" si="0"/>
        <v>17</v>
      </c>
      <c r="K27" s="67">
        <f>coot</f>
        <v>0</v>
      </c>
      <c r="L27" s="68">
        <f>MAX(IF($H$4&lt;2018,75%,50%),VLOOKUP(K27,K12:L23,2))</f>
        <v>1.2</v>
      </c>
      <c r="M27" s="68">
        <f>MAX(IF($H$4&lt;2018,75%,50%),VLOOKUP(K27,K12:M23,3))</f>
        <v>1.2</v>
      </c>
      <c r="N27" s="65">
        <v>1.2</v>
      </c>
      <c r="O27" s="65">
        <f>M27</f>
        <v>1.2</v>
      </c>
      <c r="P27" s="65">
        <f>M27</f>
        <v>1.2</v>
      </c>
      <c r="Q27" s="65">
        <f>M27</f>
        <v>1.2</v>
      </c>
      <c r="R27"/>
      <c r="S27" s="69" t="s">
        <v>27</v>
      </c>
      <c r="T27" s="65">
        <f>HLOOKUP($K$26,$L$26:$Q$28,2,FALSE)</f>
        <v>1.2</v>
      </c>
    </row>
    <row r="28" spans="3:20" ht="15" customHeight="1" x14ac:dyDescent="0.15">
      <c r="C28" s="31"/>
      <c r="D28" s="32"/>
      <c r="E28" s="31"/>
      <c r="F28" s="27">
        <v>18</v>
      </c>
      <c r="G28" s="27">
        <v>18</v>
      </c>
      <c r="H28" s="27">
        <v>18</v>
      </c>
      <c r="I28" s="27">
        <f t="shared" ca="1" si="0"/>
        <v>18</v>
      </c>
      <c r="K28" s="70"/>
      <c r="L28" s="68">
        <f>VLOOKUP(K27,K11:L23,2)</f>
        <v>1.2</v>
      </c>
      <c r="M28" s="68">
        <f>VLOOKUP(K27,K12:M23,3)</f>
        <v>1.2</v>
      </c>
      <c r="N28" s="65">
        <v>1.2</v>
      </c>
      <c r="O28" s="65">
        <f>M28</f>
        <v>1.2</v>
      </c>
      <c r="P28" s="65">
        <f>M28</f>
        <v>1.2</v>
      </c>
      <c r="Q28" s="65">
        <f>M28</f>
        <v>1.2</v>
      </c>
      <c r="R28"/>
      <c r="S28" s="69" t="s">
        <v>22</v>
      </c>
      <c r="T28" s="65">
        <f>HLOOKUP($K$26,$L$26:$Q$28,3,FALSE)</f>
        <v>1.2</v>
      </c>
    </row>
    <row r="29" spans="3:20" ht="15" customHeight="1" x14ac:dyDescent="0.15">
      <c r="C29" s="31"/>
      <c r="D29" s="32"/>
      <c r="E29" s="31"/>
      <c r="F29" s="27">
        <v>19</v>
      </c>
      <c r="G29" s="27">
        <v>19</v>
      </c>
      <c r="H29" s="27">
        <v>19</v>
      </c>
      <c r="I29" s="27">
        <f t="shared" ca="1" si="0"/>
        <v>19</v>
      </c>
      <c r="K29" s="30"/>
      <c r="L29" s="38"/>
      <c r="M29" s="38"/>
      <c r="N29" s="29"/>
    </row>
    <row r="30" spans="3:20" ht="15" customHeight="1" x14ac:dyDescent="0.15">
      <c r="C30" s="31" t="s">
        <v>32</v>
      </c>
      <c r="D30" s="32" t="b">
        <f>IF(INT(D33/4)=D33/4,TRUE,FALSE)</f>
        <v>0</v>
      </c>
      <c r="E30" s="31"/>
      <c r="F30" s="27">
        <v>20</v>
      </c>
      <c r="G30" s="27">
        <v>20</v>
      </c>
      <c r="H30" s="27">
        <v>20</v>
      </c>
      <c r="I30" s="27">
        <f t="shared" ca="1" si="0"/>
        <v>20</v>
      </c>
      <c r="K30" s="30"/>
      <c r="L30" s="38"/>
      <c r="M30" s="38"/>
      <c r="N30" s="29"/>
    </row>
    <row r="31" spans="3:20" ht="15" customHeight="1" x14ac:dyDescent="0.15">
      <c r="C31" s="31" t="s">
        <v>33</v>
      </c>
      <c r="D31" s="32"/>
      <c r="E31" s="31"/>
      <c r="F31" s="27">
        <v>21</v>
      </c>
      <c r="G31" s="27">
        <v>21</v>
      </c>
      <c r="H31" s="27">
        <v>21</v>
      </c>
      <c r="I31" s="27">
        <f t="shared" ca="1" si="0"/>
        <v>21</v>
      </c>
      <c r="K31" s="30"/>
      <c r="L31" s="38"/>
      <c r="M31" s="38"/>
      <c r="N31" s="29"/>
    </row>
    <row r="32" spans="3:20" ht="15" customHeight="1" x14ac:dyDescent="0.15">
      <c r="C32" s="31"/>
      <c r="D32" s="32"/>
      <c r="E32" s="31"/>
      <c r="F32" s="27">
        <v>22</v>
      </c>
      <c r="G32" s="27">
        <v>22</v>
      </c>
      <c r="H32" s="27">
        <v>22</v>
      </c>
      <c r="I32" s="27">
        <f t="shared" ca="1" si="0"/>
        <v>22</v>
      </c>
      <c r="K32" s="75">
        <v>1</v>
      </c>
      <c r="L32" s="76">
        <f>VLOOKUP(K32,K33:M36,3)</f>
        <v>2022</v>
      </c>
      <c r="M32" s="77"/>
      <c r="N32" s="50"/>
      <c r="O32" s="50"/>
      <c r="P32" s="50"/>
      <c r="Q32" s="50"/>
    </row>
    <row r="33" spans="2:17" ht="15" customHeight="1" x14ac:dyDescent="0.15">
      <c r="C33" s="44">
        <v>8</v>
      </c>
      <c r="D33" s="32">
        <f>IF(C33=1,D35-1,VLOOKUP(C33,C34:D41,2))</f>
        <v>2022</v>
      </c>
      <c r="E33" s="31"/>
      <c r="F33" s="27">
        <v>23</v>
      </c>
      <c r="G33" s="27">
        <v>23</v>
      </c>
      <c r="H33" s="27">
        <v>23</v>
      </c>
      <c r="I33" s="27">
        <f t="shared" ca="1" si="0"/>
        <v>23</v>
      </c>
      <c r="K33" s="77">
        <v>1</v>
      </c>
      <c r="L33" s="78" t="str">
        <f>"Année de revenus "&amp;M33</f>
        <v>Année de revenus 2022</v>
      </c>
      <c r="M33" s="79">
        <v>2022</v>
      </c>
      <c r="N33" s="80" t="s">
        <v>35</v>
      </c>
      <c r="O33" s="50"/>
      <c r="P33" s="50" t="s">
        <v>39</v>
      </c>
      <c r="Q33" s="86">
        <f>IF(INT($L$32/4)=L32/4,366,365)</f>
        <v>365</v>
      </c>
    </row>
    <row r="34" spans="2:17" ht="15" customHeight="1" x14ac:dyDescent="0.15">
      <c r="C34" s="31">
        <v>1</v>
      </c>
      <c r="D34" s="85">
        <f>D35</f>
        <v>2016</v>
      </c>
      <c r="E34" s="31"/>
      <c r="F34" s="27">
        <v>24</v>
      </c>
      <c r="G34" s="27">
        <v>24</v>
      </c>
      <c r="H34" s="27">
        <v>24</v>
      </c>
      <c r="I34" s="27">
        <f t="shared" ca="1" si="0"/>
        <v>24</v>
      </c>
      <c r="K34" s="77">
        <v>2</v>
      </c>
      <c r="L34" s="78" t="str">
        <f>"Année de revenus "&amp;M34</f>
        <v>Année de revenus 2021</v>
      </c>
      <c r="M34" s="77">
        <f>M33-1</f>
        <v>2021</v>
      </c>
      <c r="N34" s="50"/>
      <c r="O34" s="50"/>
      <c r="P34" s="50"/>
      <c r="Q34" s="50"/>
    </row>
    <row r="35" spans="2:17" ht="15" customHeight="1" x14ac:dyDescent="0.15">
      <c r="C35" s="31">
        <v>2</v>
      </c>
      <c r="D35" s="32">
        <f t="shared" ref="D35:D39" si="2">D36-1</f>
        <v>2016</v>
      </c>
      <c r="E35" s="31"/>
      <c r="F35" s="27">
        <v>25</v>
      </c>
      <c r="G35" s="27">
        <v>25</v>
      </c>
      <c r="H35" s="27">
        <v>25</v>
      </c>
      <c r="I35" s="27">
        <f t="shared" ca="1" si="0"/>
        <v>25</v>
      </c>
      <c r="K35" s="50">
        <v>3</v>
      </c>
      <c r="L35" s="78" t="str">
        <f>"Année de revenus "&amp;M35</f>
        <v>Année de revenus 2020</v>
      </c>
      <c r="M35" s="77">
        <f t="shared" ref="M35:M36" si="3">M34-1</f>
        <v>2020</v>
      </c>
      <c r="N35" s="50"/>
      <c r="O35" s="50"/>
      <c r="P35" s="50"/>
      <c r="Q35" s="50"/>
    </row>
    <row r="36" spans="2:17" ht="15" customHeight="1" x14ac:dyDescent="0.15">
      <c r="C36" s="31">
        <v>3</v>
      </c>
      <c r="D36" s="32">
        <f t="shared" si="2"/>
        <v>2017</v>
      </c>
      <c r="E36" s="31"/>
      <c r="F36" s="27">
        <v>26</v>
      </c>
      <c r="G36" s="27">
        <v>26</v>
      </c>
      <c r="H36" s="27">
        <v>26</v>
      </c>
      <c r="I36" s="27">
        <f t="shared" ca="1" si="0"/>
        <v>26</v>
      </c>
      <c r="K36" s="50">
        <v>4</v>
      </c>
      <c r="L36" s="78" t="str">
        <f>"Année de revenus "&amp;M36</f>
        <v>Année de revenus 2019</v>
      </c>
      <c r="M36" s="77">
        <f t="shared" si="3"/>
        <v>2019</v>
      </c>
      <c r="N36" s="50"/>
      <c r="O36" s="50"/>
      <c r="P36" s="50"/>
      <c r="Q36" s="50"/>
    </row>
    <row r="37" spans="2:17" ht="15" customHeight="1" x14ac:dyDescent="0.15">
      <c r="C37" s="31">
        <v>4</v>
      </c>
      <c r="D37" s="32">
        <f t="shared" si="2"/>
        <v>2018</v>
      </c>
      <c r="E37" s="31"/>
      <c r="F37" s="27">
        <v>27</v>
      </c>
      <c r="G37" s="27">
        <v>27</v>
      </c>
      <c r="H37" s="27">
        <v>27</v>
      </c>
      <c r="I37" s="27">
        <f t="shared" ca="1" si="0"/>
        <v>27</v>
      </c>
      <c r="K37" s="50"/>
      <c r="L37" s="50"/>
      <c r="M37" s="50"/>
      <c r="N37" s="50"/>
      <c r="O37" s="50"/>
      <c r="P37" s="50"/>
      <c r="Q37" s="50"/>
    </row>
    <row r="38" spans="2:17" ht="15" customHeight="1" x14ac:dyDescent="0.15">
      <c r="C38" s="31">
        <v>5</v>
      </c>
      <c r="D38" s="32">
        <f t="shared" si="2"/>
        <v>2019</v>
      </c>
      <c r="E38" s="31"/>
      <c r="F38" s="27">
        <v>28</v>
      </c>
      <c r="G38" s="27">
        <v>28</v>
      </c>
      <c r="H38" s="27">
        <v>28</v>
      </c>
      <c r="I38" s="27">
        <f t="shared" ca="1" si="0"/>
        <v>28</v>
      </c>
      <c r="K38" s="50"/>
      <c r="L38" s="78"/>
      <c r="M38" s="81">
        <f>M33</f>
        <v>2022</v>
      </c>
      <c r="N38" s="81">
        <f>M34</f>
        <v>2021</v>
      </c>
      <c r="O38" s="81">
        <f>M35</f>
        <v>2020</v>
      </c>
      <c r="P38" s="81">
        <f>M36</f>
        <v>2019</v>
      </c>
      <c r="Q38" s="77" t="s">
        <v>36</v>
      </c>
    </row>
    <row r="39" spans="2:17" ht="15" customHeight="1" x14ac:dyDescent="0.2">
      <c r="C39" s="31">
        <v>6</v>
      </c>
      <c r="D39" s="32">
        <f t="shared" si="2"/>
        <v>2020</v>
      </c>
      <c r="E39" s="31"/>
      <c r="F39" s="27">
        <v>29</v>
      </c>
      <c r="G39" s="27">
        <v>29</v>
      </c>
      <c r="H39" s="27">
        <v>29</v>
      </c>
      <c r="I39" s="27">
        <f t="shared" ca="1" si="0"/>
        <v>29</v>
      </c>
      <c r="K39" s="82">
        <f>HLOOKUP($L$32,$M$38:$P39,2,FALSE)</f>
        <v>1</v>
      </c>
      <c r="L39" s="78" t="s">
        <v>37</v>
      </c>
      <c r="M39" s="83">
        <f>IF(M38&lt;2018,0.75,IF(M38&lt;2020,$T$27,$M$4))</f>
        <v>1</v>
      </c>
      <c r="N39" s="83">
        <f>IF(N38&lt;2018,0.75,IF(N38&lt;2020,$T$27,$M$4))</f>
        <v>1</v>
      </c>
      <c r="O39" s="83">
        <f t="shared" ref="O39" si="4">IF(O38&lt;2018,0.75,IF(O38&lt;2020,$T$27,$M$4))</f>
        <v>1</v>
      </c>
      <c r="P39" s="83">
        <f>IF(P38&lt;2018,0.75,IF(P38&lt;2020,$T$27,$M$4))</f>
        <v>1.2</v>
      </c>
      <c r="Q39" s="50"/>
    </row>
    <row r="40" spans="2:17" ht="15" customHeight="1" x14ac:dyDescent="0.2">
      <c r="C40" s="31">
        <v>7</v>
      </c>
      <c r="D40" s="32">
        <f>D41-1</f>
        <v>2021</v>
      </c>
      <c r="E40" s="31"/>
      <c r="G40" s="27">
        <v>30</v>
      </c>
      <c r="H40" s="27">
        <v>30</v>
      </c>
      <c r="I40" s="27">
        <f t="shared" ca="1" si="0"/>
        <v>30</v>
      </c>
      <c r="K40" s="82">
        <f>HLOOKUP($L$32,$M$38:$P40,3,FALSE)</f>
        <v>1</v>
      </c>
      <c r="L40" s="78" t="s">
        <v>38</v>
      </c>
      <c r="M40" s="83">
        <f>IF(M38&lt;2020,$T$28,$L$4)</f>
        <v>1</v>
      </c>
      <c r="N40" s="83">
        <f t="shared" ref="N40:P40" si="5">IF(N38&lt;2020,$T$28,$L$4)</f>
        <v>1</v>
      </c>
      <c r="O40" s="83">
        <f t="shared" si="5"/>
        <v>1</v>
      </c>
      <c r="P40" s="83">
        <f t="shared" si="5"/>
        <v>1.2</v>
      </c>
    </row>
    <row r="41" spans="2:17" ht="15" customHeight="1" x14ac:dyDescent="0.2">
      <c r="C41" s="31">
        <v>8</v>
      </c>
      <c r="D41" s="32">
        <f>L32</f>
        <v>2022</v>
      </c>
      <c r="E41" s="31"/>
      <c r="H41" s="27">
        <v>31</v>
      </c>
      <c r="I41" s="27">
        <f t="shared" ca="1" si="0"/>
        <v>31</v>
      </c>
      <c r="K41" s="87">
        <f>HLOOKUP($L$32,$M$38:$P41,4,FALSE)</f>
        <v>75</v>
      </c>
      <c r="L41" s="78" t="s">
        <v>41</v>
      </c>
      <c r="M41" s="79">
        <v>75</v>
      </c>
      <c r="N41" s="79">
        <v>84</v>
      </c>
      <c r="O41" s="79">
        <v>91</v>
      </c>
      <c r="P41" s="79">
        <v>88</v>
      </c>
      <c r="Q41" s="45" t="s">
        <v>45</v>
      </c>
    </row>
    <row r="42" spans="2:17" ht="15" customHeight="1" x14ac:dyDescent="0.2">
      <c r="K42" s="87">
        <f>HLOOKUP($L$32,$M$38:$P42,5,FALSE)</f>
        <v>91</v>
      </c>
      <c r="L42" s="78" t="s">
        <v>42</v>
      </c>
      <c r="M42" s="79">
        <v>91</v>
      </c>
      <c r="N42" s="79">
        <v>102</v>
      </c>
      <c r="O42" s="79">
        <v>111</v>
      </c>
      <c r="P42" s="79">
        <v>107</v>
      </c>
    </row>
    <row r="43" spans="2:17" ht="15" customHeight="1" x14ac:dyDescent="0.2">
      <c r="B43" s="54" t="s">
        <v>5</v>
      </c>
      <c r="K43" s="88">
        <f>HLOOKUP($L$32,$M$38:$P43,6,FALSE)</f>
        <v>1400</v>
      </c>
      <c r="L43" s="78" t="s">
        <v>40</v>
      </c>
      <c r="M43" s="89">
        <v>1400</v>
      </c>
      <c r="N43" s="89">
        <v>1370</v>
      </c>
      <c r="O43" s="89">
        <v>1360</v>
      </c>
      <c r="P43" s="89">
        <v>1340</v>
      </c>
    </row>
    <row r="44" spans="2:17" ht="15" customHeight="1" x14ac:dyDescent="0.2">
      <c r="C44" s="44">
        <v>1</v>
      </c>
      <c r="D44" s="28" t="str">
        <f>VLOOKUP(C44,C45:D46,2)</f>
        <v>Oui</v>
      </c>
      <c r="K44" s="87">
        <f>HLOOKUP($L$32,$M$38:$P44,7,FALSE)</f>
        <v>44562</v>
      </c>
      <c r="L44" s="27" t="s">
        <v>44</v>
      </c>
      <c r="M44" s="27">
        <f>DATE(M33,1,1)</f>
        <v>44562</v>
      </c>
      <c r="N44" s="27">
        <f>M44-N46</f>
        <v>44197</v>
      </c>
      <c r="O44" s="27">
        <f>N44-O46</f>
        <v>43831</v>
      </c>
      <c r="P44" s="27">
        <f>O44-P46</f>
        <v>43466</v>
      </c>
    </row>
    <row r="45" spans="2:17" ht="15" customHeight="1" x14ac:dyDescent="0.2">
      <c r="C45" s="27">
        <v>1</v>
      </c>
      <c r="D45" s="28" t="s">
        <v>60</v>
      </c>
      <c r="K45" s="87">
        <f>HLOOKUP($L$32,$M$38:$P45,8,FALSE)</f>
        <v>44926</v>
      </c>
      <c r="L45" s="27" t="s">
        <v>46</v>
      </c>
      <c r="M45" s="27">
        <f>M44+M46-1</f>
        <v>44926</v>
      </c>
      <c r="N45" s="27">
        <f t="shared" ref="N45:P45" si="6">N44+N46-1</f>
        <v>44561</v>
      </c>
      <c r="O45" s="27">
        <f t="shared" si="6"/>
        <v>44196</v>
      </c>
      <c r="P45" s="27">
        <f t="shared" si="6"/>
        <v>43830</v>
      </c>
    </row>
    <row r="46" spans="2:17" ht="15" customHeight="1" x14ac:dyDescent="0.15">
      <c r="C46" s="27">
        <v>2</v>
      </c>
      <c r="D46" s="28" t="s">
        <v>61</v>
      </c>
      <c r="M46" s="46">
        <f>IF(INT(M38/4)=M38/4,366,365)</f>
        <v>365</v>
      </c>
      <c r="N46" s="46">
        <f>IF(INT(N38/4)=N38/4,366,365)</f>
        <v>365</v>
      </c>
      <c r="O46" s="46">
        <f>IF(INT(O38/4)=O38/4,366,365)</f>
        <v>366</v>
      </c>
      <c r="P46" s="46">
        <f>IF(INT(P38/4)=P38/4,366,365)</f>
        <v>365</v>
      </c>
      <c r="Q46" s="27" t="s">
        <v>43</v>
      </c>
    </row>
    <row r="48" spans="2:17" ht="15" customHeight="1" x14ac:dyDescent="0.15">
      <c r="B48" s="54" t="s">
        <v>21</v>
      </c>
      <c r="D48" s="28" t="s">
        <v>31</v>
      </c>
    </row>
    <row r="49" spans="1:4" ht="15" customHeight="1" x14ac:dyDescent="0.15">
      <c r="C49" s="44">
        <v>1562</v>
      </c>
      <c r="D49" s="28">
        <f>IF('1'!$E$39&lt;43831,2022,2021)</f>
        <v>2021</v>
      </c>
    </row>
    <row r="51" spans="1:4" ht="15" customHeight="1" x14ac:dyDescent="0.15">
      <c r="A51" s="45" t="s">
        <v>30</v>
      </c>
      <c r="B51" s="45"/>
    </row>
  </sheetData>
  <sheetProtection algorithmName="SHA-512" hashValue="9KGw/Ty851VgYS6gXsLnz+6lO4Pt+nTScgxVn9x1KKejecdBjDALYic8aLAZGSLmG2eC0qD+ovUQoKtX8T/0SA==" saltValue="sTXggaL2mwYJIwGinK6Mpw==" spinCount="100000" sheet="1" objects="1" scenarios="1"/>
  <mergeCells count="3">
    <mergeCell ref="C8:J8"/>
    <mergeCell ref="L25:P25"/>
    <mergeCell ref="K2:O2"/>
  </mergeCells>
  <conditionalFormatting sqref="L40">
    <cfRule type="cellIs" dxfId="3" priority="2" stopIfTrue="1" operator="equal">
      <formula>0</formula>
    </cfRule>
  </conditionalFormatting>
  <conditionalFormatting sqref="K32:M32 K34 K33:L33 Q38 L38:L39 L34:M36">
    <cfRule type="cellIs" dxfId="2" priority="4" stopIfTrue="1" operator="equal">
      <formula>0</formula>
    </cfRule>
  </conditionalFormatting>
  <conditionalFormatting sqref="M38:P38">
    <cfRule type="cellIs" dxfId="1" priority="3" stopIfTrue="1" operator="equal">
      <formula>0</formula>
    </cfRule>
  </conditionalFormatting>
  <conditionalFormatting sqref="L41:L43">
    <cfRule type="cellIs" dxfId="0" priority="1" stopIfTrue="1" operator="equal">
      <formula>0</formula>
    </cfRule>
  </conditionalFormatting>
  <pageMargins left="0.75" right="0.75" top="1" bottom="1" header="0.5" footer="0.5"/>
  <pageSetup paperSize="9" orientation="portrait" r:id="rId1"/>
  <headerFooter alignWithMargins="0">
    <oddHeader>&amp;C&amp;Z&amp;F</oddHeader>
    <oddFooter>&amp;C&amp;P/&amp;N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2732C9B7C67544B918C3AC84BF2D92" ma:contentTypeVersion="13" ma:contentTypeDescription="Crée un document." ma:contentTypeScope="" ma:versionID="3377a44d5357aaea5420c39d44a34240">
  <xsd:schema xmlns:xsd="http://www.w3.org/2001/XMLSchema" xmlns:xs="http://www.w3.org/2001/XMLSchema" xmlns:p="http://schemas.microsoft.com/office/2006/metadata/properties" xmlns:ns3="ac217802-ad5e-451a-bc27-2c973f4b848e" xmlns:ns4="a9c9ba65-0ef1-44b3-8ee2-48738882e2b9" targetNamespace="http://schemas.microsoft.com/office/2006/metadata/properties" ma:root="true" ma:fieldsID="7178f8fef4b6a5278049f659bdb3fc85" ns3:_="" ns4:_="">
    <xsd:import namespace="ac217802-ad5e-451a-bc27-2c973f4b848e"/>
    <xsd:import namespace="a9c9ba65-0ef1-44b3-8ee2-48738882e2b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17802-ad5e-451a-bc27-2c973f4b848e"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c9ba65-0ef1-44b3-8ee2-48738882e2b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ECD9E1-294B-45D3-8575-13DF4F28023D}">
  <ds:schemaRefs>
    <ds:schemaRef ds:uri="http://schemas.microsoft.com/sharepoint/v3/contenttype/forms"/>
  </ds:schemaRefs>
</ds:datastoreItem>
</file>

<file path=customXml/itemProps2.xml><?xml version="1.0" encoding="utf-8"?>
<ds:datastoreItem xmlns:ds="http://schemas.openxmlformats.org/officeDocument/2006/customXml" ds:itemID="{47C1571A-EBB9-4DB1-9548-395D10FCCC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217802-ad5e-451a-bc27-2c973f4b848e"/>
    <ds:schemaRef ds:uri="a9c9ba65-0ef1-44b3-8ee2-48738882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D6595D-75EE-4F86-9997-5CFDD391F581}">
  <ds:schemaRefs>
    <ds:schemaRef ds:uri="http://schemas.openxmlformats.org/package/2006/metadata/core-properties"/>
    <ds:schemaRef ds:uri="ac217802-ad5e-451a-bc27-2c973f4b848e"/>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a9c9ba65-0ef1-44b3-8ee2-48738882e2b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Home</vt:lpstr>
      <vt:lpstr>1</vt:lpstr>
      <vt:lpstr>coot</vt:lpstr>
      <vt:lpstr>coot2</vt:lpstr>
      <vt:lpstr>dagen28</vt:lpstr>
      <vt:lpstr>dagen30</vt:lpstr>
      <vt:lpstr>dagen31</vt:lpstr>
      <vt:lpstr>'1'!Print_Area</vt:lpstr>
      <vt:lpstr>Home!Print_Area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Joeri VAN DEN BOSCH</dc:creator>
  <cp:lastModifiedBy>Bernard SELFSLAGH</cp:lastModifiedBy>
  <cp:lastPrinted>2020-04-28T12:29:41Z</cp:lastPrinted>
  <dcterms:created xsi:type="dcterms:W3CDTF">2011-03-21T06:44:21Z</dcterms:created>
  <dcterms:modified xsi:type="dcterms:W3CDTF">2022-01-06T12:42:40Z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0x0101005A2732C9B7C67544B918C3AC84BF2D92</vt:lpwstr>
  </property>
</Properties>
</file>