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mc:AlternateContent xmlns:mc="http://schemas.openxmlformats.org/markup-compatibility/2006">
    <mc:Choice Requires="x15">
      <x15ac:absPath xmlns:x15ac="http://schemas.microsoft.com/office/spreadsheetml/2010/11/ac" url="https://els1-my.sharepoint.com/personal/j_vandenbosch_indicator-larcier_be/Documents/"/>
    </mc:Choice>
  </mc:AlternateContent>
  <bookViews>
    <workbookView showSheetTabs="0" xWindow="0" yWindow="0" windowWidth="28800" windowHeight="11820"/>
  </bookViews>
  <sheets>
    <sheet name="Home" sheetId="15" r:id="rId1"/>
    <sheet name="1" sheetId="11" r:id="rId2"/>
    <sheet name="calc" sheetId="12" state="veryHidden" r:id="rId3"/>
  </sheets>
  <definedNames>
    <definedName name="Aanschafjaar">OFFSET(calc!$H$5,,,IF(calc!$L$32&lt;2018,1,2))</definedName>
    <definedName name="coot">'1'!$E$10</definedName>
    <definedName name="coot2">'1'!$E$11</definedName>
    <definedName name="Dagen_invulveld">OFFSET(calc!$I$11,,,IF(calc!$E$10="dagen28",28+1*calc!$D$30,IF(calc!$E$10="dagen30",30,31)),)</definedName>
    <definedName name="dagen28">calc!$F$11:$F$39</definedName>
    <definedName name="dagen30">calc!$G$11:$G$40</definedName>
    <definedName name="dagen31">calc!$H$11:$H$41</definedName>
    <definedName name="_xlnm.Print_Area" localSheetId="1">'1'!$A$1:$E$50</definedName>
    <definedName name="_xlnm.Print_Area" localSheetId="0">Home!$B$2:$S$25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1" l="1"/>
  <c r="D8" i="11" l="1"/>
  <c r="L33" i="12"/>
  <c r="D10" i="11"/>
  <c r="M26" i="12" l="1"/>
  <c r="N26" i="12"/>
  <c r="O26" i="12"/>
  <c r="P26" i="12"/>
  <c r="Q26" i="12"/>
  <c r="L26" i="12"/>
  <c r="M44" i="12" l="1"/>
  <c r="E39" i="11" l="1"/>
  <c r="M38" i="12" l="1"/>
  <c r="M46" i="12" s="1"/>
  <c r="M45" i="12" s="1"/>
  <c r="M34" i="12"/>
  <c r="M35" i="12" l="1"/>
  <c r="L35" i="12" s="1"/>
  <c r="L34" i="12"/>
  <c r="N38" i="12"/>
  <c r="N46" i="12" s="1"/>
  <c r="N44" i="12" s="1"/>
  <c r="O38" i="12" l="1"/>
  <c r="O46" i="12" s="1"/>
  <c r="O44" i="12" s="1"/>
  <c r="O45" i="12" s="1"/>
  <c r="M36" i="12"/>
  <c r="L32" i="12"/>
  <c r="K41" i="12" s="1"/>
  <c r="L36" i="12"/>
  <c r="N45" i="12"/>
  <c r="P38" i="12"/>
  <c r="P46" i="12" s="1"/>
  <c r="K44" i="12" l="1"/>
  <c r="K42" i="12"/>
  <c r="D41" i="12"/>
  <c r="K43" i="12"/>
  <c r="C5" i="12"/>
  <c r="K45" i="12"/>
  <c r="Q33" i="12"/>
  <c r="B27" i="11" s="1"/>
  <c r="B5" i="12"/>
  <c r="H4" i="12"/>
  <c r="E33" i="11"/>
  <c r="B18" i="11"/>
  <c r="B35" i="11"/>
  <c r="B34" i="11"/>
  <c r="B29" i="11"/>
  <c r="B28" i="11"/>
  <c r="P44" i="12"/>
  <c r="P45" i="12" s="1"/>
  <c r="B15" i="11"/>
  <c r="H6" i="12"/>
  <c r="D24" i="11"/>
  <c r="E24" i="11"/>
  <c r="D40" i="12"/>
  <c r="D39" i="12" s="1"/>
  <c r="D38" i="12" s="1"/>
  <c r="D37" i="12" s="1"/>
  <c r="D36" i="12" s="1"/>
  <c r="D35" i="12" s="1"/>
  <c r="D34" i="12" s="1"/>
  <c r="D49" i="12"/>
  <c r="B43" i="11" l="1"/>
  <c r="B42" i="11"/>
  <c r="D33" i="12"/>
  <c r="G13" i="11" s="1"/>
  <c r="B2" i="12" l="1"/>
  <c r="E14" i="11" s="1"/>
  <c r="H13" i="11"/>
  <c r="D23" i="11" s="1"/>
  <c r="D30" i="12"/>
  <c r="K27" i="12"/>
  <c r="M28" i="12" s="1"/>
  <c r="K26" i="12"/>
  <c r="Q28" i="12" l="1"/>
  <c r="L28" i="12"/>
  <c r="T28" i="12" s="1"/>
  <c r="P28" i="12"/>
  <c r="O28" i="12"/>
  <c r="O40" i="12" l="1"/>
  <c r="P40" i="12"/>
  <c r="E42" i="11"/>
  <c r="D22" i="11"/>
  <c r="E22" i="11"/>
  <c r="L27" i="12" l="1"/>
  <c r="M27" i="12"/>
  <c r="K5" i="12"/>
  <c r="N7" i="12"/>
  <c r="T27" i="12" l="1"/>
  <c r="Q27" i="12"/>
  <c r="O27" i="12"/>
  <c r="P27" i="12"/>
  <c r="E46" i="11" s="1"/>
  <c r="M4" i="12"/>
  <c r="L4" i="12"/>
  <c r="M40" i="12" l="1"/>
  <c r="N40" i="12"/>
  <c r="N39" i="12"/>
  <c r="P39" i="12"/>
  <c r="O39" i="12"/>
  <c r="E43" i="11"/>
  <c r="D43" i="11" s="1"/>
  <c r="K40" i="12"/>
  <c r="E47" i="11"/>
  <c r="D47" i="11" s="1"/>
  <c r="M39" i="12"/>
  <c r="E10" i="12"/>
  <c r="I18" i="12"/>
  <c r="K39" i="12" l="1"/>
  <c r="C4" i="12"/>
  <c r="C6" i="12" s="1"/>
  <c r="G14" i="11"/>
  <c r="B4" i="12"/>
  <c r="E23" i="11"/>
  <c r="I40" i="12"/>
  <c r="I31" i="12"/>
  <c r="I11" i="12"/>
  <c r="I32" i="12"/>
  <c r="I12" i="12"/>
  <c r="I41" i="12"/>
  <c r="I38" i="12"/>
  <c r="I28" i="12"/>
  <c r="I39" i="12"/>
  <c r="I21" i="12"/>
  <c r="I34" i="12"/>
  <c r="I14" i="12"/>
  <c r="I35" i="12"/>
  <c r="I37" i="12"/>
  <c r="I13" i="12"/>
  <c r="I23" i="12"/>
  <c r="I24" i="12"/>
  <c r="I20" i="12"/>
  <c r="I16" i="12"/>
  <c r="I19" i="12"/>
  <c r="I30" i="12"/>
  <c r="I33" i="12"/>
  <c r="I22" i="12"/>
  <c r="I17" i="12"/>
  <c r="I29" i="12"/>
  <c r="I25" i="12"/>
  <c r="I36" i="12"/>
  <c r="I27" i="12"/>
  <c r="I26" i="12"/>
  <c r="I15" i="12"/>
  <c r="E15" i="11" l="1"/>
  <c r="B6" i="12"/>
  <c r="D44" i="12"/>
  <c r="D10" i="12"/>
  <c r="J13" i="11" s="1"/>
  <c r="I13" i="11" s="1"/>
  <c r="E25" i="11"/>
  <c r="D25" i="11"/>
  <c r="D4" i="12" l="1"/>
  <c r="D5" i="12" s="1"/>
  <c r="D6" i="12" l="1"/>
  <c r="E21" i="11" s="1"/>
  <c r="D21" i="11" l="1"/>
  <c r="E26" i="11"/>
  <c r="E27" i="11"/>
  <c r="D27" i="11"/>
  <c r="D26" i="11"/>
  <c r="D28" i="11" l="1"/>
  <c r="E35" i="11" l="1"/>
  <c r="C28" i="11"/>
  <c r="D29" i="11"/>
  <c r="D30" i="11" s="1"/>
  <c r="E34" i="11" s="1"/>
</calcChain>
</file>

<file path=xl/comments1.xml><?xml version="1.0" encoding="utf-8"?>
<comments xmlns="http://schemas.openxmlformats.org/spreadsheetml/2006/main">
  <authors>
    <author>Phi</author>
  </authors>
  <commentList>
    <comment ref="P23" authorId="0" shapeId="0">
      <text>
        <r>
          <rPr>
            <b/>
            <sz val="8"/>
            <color indexed="8"/>
            <rFont val="Tahoma"/>
            <family val="2"/>
          </rPr>
          <t>© Indicator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4" authorId="0" shapeId="0">
      <text>
        <r>
          <rPr>
            <b/>
            <sz val="8"/>
            <color indexed="8"/>
            <rFont val="Tahoma"/>
            <family val="2"/>
          </rPr>
          <t>Indicator - La rédaction veille à la fiabilité des informations lesquelles ne sauraient toutefois engager sa responsabilité.</t>
        </r>
      </text>
    </comment>
  </commentList>
</comments>
</file>

<file path=xl/comments2.xml><?xml version="1.0" encoding="utf-8"?>
<comments xmlns="http://schemas.openxmlformats.org/spreadsheetml/2006/main">
  <authors>
    <author>Philippe</author>
  </authors>
  <commentList>
    <comment ref="G8" authorId="0" shapeId="0">
      <text>
        <r>
          <rPr>
            <sz val="8"/>
            <color indexed="45"/>
            <rFont val="Tahoma"/>
            <family val="2"/>
          </rPr>
          <t xml:space="preserve">Sont considérés comme de </t>
        </r>
        <r>
          <rPr>
            <b/>
            <sz val="8"/>
            <color indexed="45"/>
            <rFont val="Tahoma"/>
            <family val="2"/>
          </rPr>
          <t>"faux" hybrides</t>
        </r>
        <r>
          <rPr>
            <sz val="8"/>
            <color indexed="45"/>
            <rFont val="Tahoma"/>
            <family val="2"/>
          </rPr>
          <t xml:space="preserve"> : les hybrides rechargeables ("plug-in") qui soit sont équipés d'une batterie à capacité énergétique limitée (moins de 0,5 kWh par 100 kg de poids de la voiture), soit émettent plus de 50 g de CO2 par km.
Pour les "faux hybrides" achetés, commandés ou loués depuis le 1er janvier 2018 (signature du contrat/bon de commande), l'administration fiscale se basera sur les émissions de CO2 de l'équivalent non hybride pour déterminer la déductibilité fiscale des frais de voiture, et ce à partir de l'exercice d'imposition 2021 (liée à un exercice comptable débutant au plus tôt le 1er janvier 2020), ainsi que pour déterminer les ATN voiture accordés depuis le 1er janvier 2020. S'il n'existe pas de modèle équivalent à propulsion conventionnelle, multipliez les émissions officielles de CO2 mentionnées sur le certificat d'immatriculation / l'attestation de conformité du "faux hybride" par un facteur 2,5.
Le terme </t>
        </r>
        <r>
          <rPr>
            <b/>
            <sz val="8"/>
            <color indexed="45"/>
            <rFont val="Tahoma"/>
            <family val="2"/>
          </rPr>
          <t>"électrique"</t>
        </r>
        <r>
          <rPr>
            <sz val="8"/>
            <color indexed="45"/>
            <rFont val="Tahoma"/>
            <family val="2"/>
          </rPr>
          <t xml:space="preserve"> désigne une voiture 100% électrique.</t>
        </r>
      </text>
    </comment>
    <comment ref="G12" authorId="0" shapeId="0">
      <text>
        <r>
          <rPr>
            <sz val="8"/>
            <color indexed="45"/>
            <rFont val="Tahoma"/>
            <family val="2"/>
          </rPr>
          <t xml:space="preserve">La </t>
        </r>
        <r>
          <rPr>
            <b/>
            <sz val="8"/>
            <color indexed="45"/>
            <rFont val="Tahoma"/>
            <family val="2"/>
          </rPr>
          <t>valeur que vous devez indiquer</t>
        </r>
        <r>
          <rPr>
            <sz val="8"/>
            <color indexed="45"/>
            <rFont val="Tahoma"/>
            <family val="2"/>
          </rPr>
          <t xml:space="preserve"> ici est égale au :
prix catalogue hors TVA (*)
+ options hors TVA 
+ TVA effectivement payée
(*) remarque : un </t>
        </r>
        <r>
          <rPr>
            <b/>
            <sz val="8"/>
            <color indexed="45"/>
            <rFont val="Tahoma"/>
            <family val="2"/>
          </rPr>
          <t>prix catalogue</t>
        </r>
        <r>
          <rPr>
            <sz val="8"/>
            <color indexed="45"/>
            <rFont val="Tahoma"/>
            <family val="2"/>
          </rPr>
          <t xml:space="preserve"> (ou le prix d'un pack d'options) </t>
        </r>
        <r>
          <rPr>
            <b/>
            <sz val="8"/>
            <color indexed="45"/>
            <rFont val="Tahoma"/>
            <family val="2"/>
          </rPr>
          <t xml:space="preserve">temporairement réduit </t>
        </r>
        <r>
          <rPr>
            <sz val="8"/>
            <color indexed="45"/>
            <rFont val="Tahoma"/>
            <family val="2"/>
          </rPr>
          <t xml:space="preserve">par le fabricant ou l'importateur n'est pris en compte dans la base de calcul de l'avantage en nature que si ce prix (temporaire) est effectivement inclus par le fabricant ou l'importateur dans ses listes de prix en tant que nouveau prix de catalogue,  et s'il s'applique également aux ventes à un particulier.
Une </t>
        </r>
        <r>
          <rPr>
            <b/>
            <sz val="8"/>
            <color indexed="45"/>
            <rFont val="Tahoma"/>
            <family val="2"/>
          </rPr>
          <t xml:space="preserve">remise </t>
        </r>
        <r>
          <rPr>
            <sz val="8"/>
            <color indexed="45"/>
            <rFont val="Tahoma"/>
            <family val="2"/>
          </rPr>
          <t>accordée par un concessionnaire local ne peut pas être déduite du prix catalogue.  
Exemple :
Prix catalogue hors TVA : 25 000
Options hors TVA : 2 500
Remise (concessionnaire local) : 1 500
TVA payée : 21% de plus (25.000+2.500-1.500) = 5.460
=&gt; valeur à remplir : 25.000+2.500+5.460=32.960</t>
        </r>
      </text>
    </comment>
    <comment ref="G39" authorId="0" shapeId="0">
      <text>
        <r>
          <rPr>
            <sz val="8"/>
            <color indexed="45"/>
            <rFont val="Tahoma"/>
            <family val="2"/>
          </rPr>
          <t>À l'impôt des personnes physiqpues, indiquer 01-01-2020.</t>
        </r>
      </text>
    </comment>
    <comment ref="G41" authorId="0" shapeId="0">
      <text>
        <r>
          <rPr>
            <sz val="8"/>
            <color indexed="45"/>
            <rFont val="Tahoma"/>
            <family val="2"/>
          </rPr>
          <t>Ces pourcentages valent pour tous les frais de voiture, à l'exception des frais de financement et de mobilophonie (100% déductibles).</t>
        </r>
      </text>
    </comment>
  </commentList>
</comments>
</file>

<file path=xl/sharedStrings.xml><?xml version="1.0" encoding="utf-8"?>
<sst xmlns="http://schemas.openxmlformats.org/spreadsheetml/2006/main" count="117" uniqueCount="98">
  <si>
    <t>Ç</t>
  </si>
  <si>
    <t>i</t>
  </si>
  <si>
    <t>Å</t>
  </si>
  <si>
    <t>Æ</t>
  </si>
  <si>
    <t>Diesel</t>
  </si>
  <si>
    <t>Tenlasteneming privé-brandstof</t>
  </si>
  <si>
    <t>dagen31</t>
  </si>
  <si>
    <t>dagen28</t>
  </si>
  <si>
    <t>dagen30</t>
  </si>
  <si>
    <t>Indirect-functie</t>
  </si>
  <si>
    <t>Inlevering in 2020</t>
  </si>
  <si>
    <t>LPG</t>
  </si>
  <si>
    <t>Fiscale aftrekbaaheid</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</si>
  <si>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</si>
  <si>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</si>
  <si>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Aanschaffing bedrijfswagen</t>
  </si>
  <si>
    <t>&lt; 2018</t>
  </si>
  <si>
    <t>Eerste inschrijving bij DIV</t>
  </si>
  <si>
    <t>Aanvang VAA</t>
  </si>
  <si>
    <t>eerste inschrijving DIV</t>
  </si>
  <si>
    <t xml:space="preserve">  # dagen</t>
  </si>
  <si>
    <t>Aanvangsdatum boekjaar AJ 2021:</t>
  </si>
  <si>
    <t>Vennootschap</t>
  </si>
  <si>
    <t>Eénmanszaak</t>
  </si>
  <si>
    <t>diesel</t>
  </si>
  <si>
    <t>benzine</t>
  </si>
  <si>
    <t>Type brandstof en co2</t>
  </si>
  <si>
    <t>Eenmanszaak</t>
  </si>
  <si>
    <t>Nieuwe regels</t>
  </si>
  <si>
    <t>FISCALE  AFTREKBAARHEID</t>
  </si>
  <si>
    <t>Vanaf VAA jaar 2022 kan je bij fiscale aftrekbaarhied opsplitsing per jaar laten vallen</t>
  </si>
  <si>
    <t>aanslagjaar venn. nieuwe regels</t>
  </si>
  <si>
    <t>Schrikkeljaar?:</t>
  </si>
  <si>
    <t>(nodig voor dagen feb.)</t>
  </si>
  <si>
    <t>Oude regels</t>
  </si>
  <si>
    <t>(vul huidig inkomstnejaar in)</t>
  </si>
  <si>
    <t>inkomstenjaren</t>
  </si>
  <si>
    <t>Fiscale aftrekbaarheid EZ</t>
  </si>
  <si>
    <t>Fiscale aftrekbaarheid Venn</t>
  </si>
  <si>
    <t>Aantal dagen in dat jaar?</t>
  </si>
  <si>
    <t>Minimum VAA</t>
  </si>
  <si>
    <t>Referentie co2-uitstoot diesel</t>
  </si>
  <si>
    <t>Referentie co2-uitstoot andere</t>
  </si>
  <si>
    <t>aantal dagen in dat inkomstenjaar</t>
  </si>
  <si>
    <t>Bepaling eerste dag  vanhet jaar</t>
  </si>
  <si>
    <t>(Vul rode velden in)</t>
  </si>
  <si>
    <t>Laatste dag van het jaar</t>
  </si>
  <si>
    <t>(*) Les frais de financement et de mobilophonie sont 100% déductibles</t>
  </si>
  <si>
    <t>janvier</t>
  </si>
  <si>
    <t>février</t>
  </si>
  <si>
    <t>mars</t>
  </si>
  <si>
    <t>avril</t>
  </si>
  <si>
    <t>mai</t>
  </si>
  <si>
    <t>juin</t>
  </si>
  <si>
    <t>juillet</t>
  </si>
  <si>
    <t>août</t>
  </si>
  <si>
    <t>septembre</t>
  </si>
  <si>
    <t>octobre</t>
  </si>
  <si>
    <t>novembre</t>
  </si>
  <si>
    <t>décembre</t>
  </si>
  <si>
    <t>Oui</t>
  </si>
  <si>
    <t>Non</t>
  </si>
  <si>
    <t>Carburant</t>
  </si>
  <si>
    <r>
      <t>Autres</t>
    </r>
    <r>
      <rPr>
        <b/>
        <i/>
        <sz val="9"/>
        <color theme="0" tint="-0.34998626667073579"/>
        <rFont val="Tahoma"/>
        <family val="2"/>
      </rPr>
      <t xml:space="preserve"> (*)</t>
    </r>
  </si>
  <si>
    <t>Avantage en pourcents :</t>
  </si>
  <si>
    <t>Après application du facteur 6/7 :</t>
  </si>
  <si>
    <t>Prise en charge totale ou partielle par la socété de frais de carburant privé ?</t>
  </si>
  <si>
    <r>
      <t>Émissions de CO</t>
    </r>
    <r>
      <rPr>
        <vertAlign val="subscript"/>
        <sz val="9"/>
        <rFont val="Tahoma"/>
        <family val="2"/>
      </rPr>
      <t xml:space="preserve">2 </t>
    </r>
    <r>
      <rPr>
        <sz val="9"/>
        <rFont val="Tahoma"/>
        <family val="2"/>
      </rPr>
      <t>de l'équivalent non hybride (g/km):</t>
    </r>
  </si>
  <si>
    <t>Année de l'achat, du leasing ou de la location :</t>
  </si>
  <si>
    <t>Essence</t>
  </si>
  <si>
    <t>Électricité</t>
  </si>
  <si>
    <t>CNG (gaz naturel) &lt; 12 cf</t>
  </si>
  <si>
    <t>CNG (gaz naturel) &gt;= 12 cf</t>
  </si>
  <si>
    <t>Choisissez l'année de revenus :</t>
  </si>
  <si>
    <t>Choisissez le type de carburant :</t>
  </si>
  <si>
    <r>
      <t>Indiquez les émissions de CO</t>
    </r>
    <r>
      <rPr>
        <vertAlign val="subscript"/>
        <sz val="9"/>
        <rFont val="Tahoma"/>
        <family val="2"/>
      </rPr>
      <t>2</t>
    </r>
    <r>
      <rPr>
        <sz val="9"/>
        <rFont val="Tahoma"/>
        <family val="2"/>
      </rPr>
      <t xml:space="preserve"> (g/km) :</t>
    </r>
  </si>
  <si>
    <r>
      <t xml:space="preserve">Indiquez la valeur catalogue </t>
    </r>
    <r>
      <rPr>
        <sz val="8"/>
        <rFont val="Tahoma"/>
        <family val="2"/>
      </rPr>
      <t xml:space="preserve">(options et TVA payée incluses, mais sans la réduction) </t>
    </r>
    <r>
      <rPr>
        <sz val="9"/>
        <rFont val="Tahoma"/>
        <family val="2"/>
      </rPr>
      <t>:</t>
    </r>
  </si>
  <si>
    <t>Jour, mois et année de la première inscription à la DIV :</t>
  </si>
  <si>
    <t>Date de début de la mise à disposition du véhicule a des fins privées :</t>
  </si>
  <si>
    <t>Valeur catalogue :</t>
  </si>
  <si>
    <t>Correction ancienneté du véhicule :</t>
  </si>
  <si>
    <t>Nombre de jours :</t>
  </si>
  <si>
    <t>Avantage de toute nature sur fiche :</t>
  </si>
  <si>
    <t>Date de début ex. comptable EI 2021 :</t>
  </si>
  <si>
    <t>Entreprise ind. jusqu'à l'EI 2018 :</t>
  </si>
  <si>
    <t>Entreprise ind. EI 2019 et 2020 :</t>
  </si>
  <si>
    <t>Entreprise ind. àpd EI 2021 :</t>
  </si>
  <si>
    <t>Référence (marque, numéro de plaque, nom du conducteur, …)</t>
  </si>
  <si>
    <r>
      <t>}</t>
    </r>
    <r>
      <rPr>
        <b/>
        <sz val="9"/>
        <color indexed="16"/>
        <rFont val="Tahoma"/>
        <family val="2"/>
      </rPr>
      <t xml:space="preserve"> Données </t>
    </r>
    <r>
      <rPr>
        <sz val="9"/>
        <color rgb="FFFF0000"/>
        <rFont val="Tahoma"/>
        <family val="2"/>
      </rPr>
      <t>(complétez les cases rouges)</t>
    </r>
  </si>
  <si>
    <r>
      <t>}</t>
    </r>
    <r>
      <rPr>
        <b/>
        <sz val="9"/>
        <color indexed="16"/>
        <rFont val="Tahoma"/>
        <family val="2"/>
      </rPr>
      <t xml:space="preserve"> Déductibilité fiscale des frais de voiture</t>
    </r>
  </si>
  <si>
    <r>
      <t>}</t>
    </r>
    <r>
      <rPr>
        <b/>
        <sz val="9"/>
        <color indexed="16"/>
        <rFont val="Tahoma"/>
        <family val="2"/>
      </rPr>
      <t xml:space="preserve"> Résultat</t>
    </r>
  </si>
  <si>
    <t>Calculez-le vous-même!</t>
  </si>
  <si>
    <r>
      <t>}</t>
    </r>
    <r>
      <rPr>
        <b/>
        <sz val="9"/>
        <color indexed="45"/>
        <rFont val="Tahoma"/>
        <family val="2"/>
      </rPr>
      <t xml:space="preserve"> cliquez </t>
    </r>
    <r>
      <rPr>
        <b/>
        <u/>
        <sz val="9"/>
        <color indexed="45"/>
        <rFont val="Tahoma"/>
        <family val="2"/>
      </rPr>
      <t>ici</t>
    </r>
  </si>
  <si>
    <t>Lefebvre Sarrut SA |Rue Haute 139 - Boite 6 | 1000 Bruxelles 
Adresse postale: Tiensesteenweg 306 | 3000 Louvain  | T 0800 39 067 | F 0800 39 068</t>
  </si>
  <si>
    <t>Avantage voiture - année de revenus 2021</t>
  </si>
  <si>
    <t>L'avantage de toute nature d'une voiture de société en 2021</t>
  </si>
  <si>
    <r>
      <t>}</t>
    </r>
    <r>
      <rPr>
        <b/>
        <sz val="9"/>
        <color indexed="16"/>
        <rFont val="Tahoma"/>
        <family val="2"/>
      </rPr>
      <t xml:space="preserve"> Avantage imposable pour 2021</t>
    </r>
  </si>
  <si>
    <t>Mis à jour au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</si>
</sst>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813]"/>
    <numFmt numFmtId="165" formatCode="0.000%"/>
    <numFmt numFmtId="166" formatCode="dd\/mm\/yyyy"/>
    <numFmt numFmtId="167" formatCode="dd/mm/yyyy"/>
    <numFmt numFmtId="168" formatCode="&quot;&lt;&quot;\ General"/>
    <numFmt numFmtId="169" formatCode="_ [$€-2]\ * #,##0.00_ ;_ [$€-2]\ * \-#,##0.00_ ;_ [$€-2]\ * &quot;-&quot;??_ ;_ @_ "/>
  </numFmts>
  <fonts count="65" x14ac:knownFonts="1">
    <font>
      <sz val="9"/>
      <color indexed="8"/>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sz val="12"/>
      <color indexed="19"/>
      <name val="Wingdings 3"/>
      <family val="1"/>
      <charset val="2"/>
    </font>
    <font>
      <sz val="9"/>
      <color indexed="16"/>
      <name val="tahoma"/>
      <family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b/>
      <sz val="8"/>
      <color indexed="14"/>
      <name val="Tahoma"/>
      <family val="2"/>
    </font>
    <font>
      <sz val="7"/>
      <color indexed="47"/>
      <name val="Small Fonts"/>
      <family val="2"/>
    </font>
    <font>
      <sz val="7"/>
      <color indexed="14"/>
      <name val="Small Fonts"/>
      <family val="2"/>
    </font>
    <font>
      <u/>
      <sz val="8"/>
      <name val="Tahoma"/>
      <family val="2"/>
    </font>
    <font>
      <sz val="14"/>
      <color indexed="45"/>
      <name val="Webdings"/>
      <family val="1"/>
      <charset val="2"/>
    </font>
    <font>
      <sz val="8"/>
      <color theme="1"/>
      <name val="Arial Narrow"/>
      <family val="2"/>
    </font>
    <font>
      <sz val="11"/>
      <color theme="1"/>
      <name val="Arial Narrow"/>
      <family val="2"/>
    </font>
    <font>
      <sz val="8"/>
      <color rgb="FFFF0000"/>
      <name val="Arial Narrow"/>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
      <b/>
      <sz val="9"/>
      <color theme="0"/>
      <name val="Tahoma"/>
      <family val="2"/>
    </font>
    <font>
      <u/>
      <sz val="11"/>
      <color theme="1"/>
      <name val="Arial Narrow"/>
      <family val="2"/>
    </font>
    <font>
      <u/>
      <sz val="8"/>
      <color theme="1"/>
      <name val="Arial Narrow"/>
      <family val="2"/>
    </font>
    <font>
      <sz val="14"/>
      <color theme="1"/>
      <name val="Arial Narrow"/>
      <family val="2"/>
    </font>
    <font>
      <i/>
      <sz val="9"/>
      <color theme="0" tint="-0.34998626667073579"/>
      <name val="Tahoma"/>
      <family val="2"/>
    </font>
    <font>
      <b/>
      <i/>
      <sz val="9"/>
      <color theme="0" tint="-0.34998626667073579"/>
      <name val="Tahoma"/>
      <family val="2"/>
    </font>
    <font>
      <b/>
      <u/>
      <sz val="8"/>
      <color theme="1"/>
      <name val="Arial Narrow"/>
      <family val="2"/>
    </font>
    <font>
      <b/>
      <u/>
      <sz val="12"/>
      <color theme="1"/>
      <name val="Arial"/>
      <family val="2"/>
    </font>
    <font>
      <b/>
      <sz val="10"/>
      <color indexed="45"/>
      <name val="Tahoma"/>
      <family val="2"/>
    </font>
    <font>
      <b/>
      <sz val="8"/>
      <color theme="0"/>
      <name val="Arial Narrow"/>
      <family val="2"/>
    </font>
    <font>
      <sz val="8"/>
      <color rgb="FFC00000"/>
      <name val="Arial Narrow"/>
      <family val="2"/>
    </font>
    <font>
      <b/>
      <sz val="10"/>
      <color theme="1"/>
      <name val="Tahoma"/>
      <family val="2"/>
    </font>
    <font>
      <u/>
      <sz val="10"/>
      <color indexed="10"/>
      <name val="Arial Narrow"/>
      <family val="2"/>
    </font>
    <font>
      <sz val="11"/>
      <color theme="1"/>
      <name val="Calibri"/>
      <family val="2"/>
      <scheme val="minor"/>
    </font>
    <font>
      <sz val="18"/>
      <color theme="0"/>
      <name val="Tahoma"/>
      <family val="2"/>
    </font>
    <font>
      <sz val="9"/>
      <name val="Tahoma"/>
      <family val="2"/>
    </font>
    <font>
      <sz val="8"/>
      <color indexed="45"/>
      <name val="Tahoma"/>
      <family val="2"/>
    </font>
    <font>
      <sz val="9"/>
      <color rgb="FF00CED1"/>
      <name val="Tahoma"/>
      <family val="2"/>
    </font>
    <font>
      <sz val="9"/>
      <color rgb="FFFF0000"/>
      <name val="Tahoma"/>
      <family val="2"/>
    </font>
    <font>
      <i/>
      <sz val="9"/>
      <color rgb="FFFF0000"/>
      <name val="Tahoma"/>
      <family val="2"/>
    </font>
    <font>
      <b/>
      <sz val="9"/>
      <color indexed="16"/>
      <name val="Tahoma"/>
      <family val="2"/>
    </font>
    <font>
      <sz val="18"/>
      <color indexed="14"/>
      <name val="tahoma"/>
      <family val="2"/>
    </font>
    <font>
      <b/>
      <sz val="8"/>
      <color rgb="FF660066"/>
      <name val="Tahoma"/>
      <family val="2"/>
    </font>
    <font>
      <b/>
      <sz val="9"/>
      <color rgb="FFFF0000"/>
      <name val="Tahoma"/>
      <family val="2"/>
    </font>
    <font>
      <b/>
      <sz val="12"/>
      <color indexed="16"/>
      <name val="Tahoma"/>
      <family val="2"/>
    </font>
    <font>
      <b/>
      <sz val="12"/>
      <color rgb="FF00008F"/>
      <name val="Tahoma"/>
      <family val="2"/>
    </font>
    <font>
      <b/>
      <sz val="12"/>
      <color indexed="14"/>
      <name val="Tahoma"/>
      <family val="2"/>
    </font>
    <font>
      <b/>
      <sz val="9"/>
      <color indexed="45"/>
      <name val="Wingdings 3"/>
      <family val="1"/>
      <charset val="2"/>
    </font>
    <font>
      <b/>
      <u/>
      <sz val="9"/>
      <color indexed="45"/>
      <name val="Tahoma"/>
      <family val="2"/>
    </font>
  </fonts>
  <fills count="21">
    <fill>
      <patternFill patternType="none"/>
    </fill>
    <fill>
      <patternFill patternType="gray125"/>
    </fill>
    <fill>
      <patternFill patternType="solid">
        <fgColor indexed="45"/>
        <bgColor indexed="64"/>
      </patternFill>
    </fill>
    <fill>
      <patternFill patternType="lightGray">
        <fgColor indexed="19"/>
        <bgColor indexed="8"/>
      </patternFill>
    </fill>
    <fill>
      <patternFill patternType="solid">
        <fgColor indexed="8"/>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9"/>
        <bgColor indexed="64"/>
      </patternFill>
    </fill>
    <fill>
      <patternFill patternType="solid">
        <fgColor indexed="47"/>
        <bgColor indexed="47"/>
      </patternFill>
    </fill>
    <fill>
      <patternFill patternType="solid">
        <fgColor indexed="43"/>
        <bgColor indexed="64"/>
      </patternFill>
    </fill>
    <fill>
      <patternFill patternType="solid">
        <fgColor indexed="14"/>
        <bgColor indexed="47"/>
      </patternFill>
    </fill>
    <fill>
      <patternFill patternType="solid">
        <fgColor indexed="47"/>
        <bgColor theme="1"/>
      </patternFill>
    </fill>
    <fill>
      <patternFill patternType="solid">
        <fgColor rgb="FFFFFF00"/>
        <bgColor indexed="64"/>
      </patternFill>
    </fill>
    <fill>
      <patternFill patternType="solid">
        <fgColor rgb="FF92D050"/>
        <bgColor indexed="64"/>
      </patternFill>
    </fill>
    <fill>
      <patternFill patternType="solid">
        <fgColor rgb="FF91918C"/>
        <bgColor indexed="64"/>
      </patternFill>
    </fill>
    <fill>
      <patternFill patternType="solid">
        <fgColor rgb="FFFF0000"/>
        <bgColor indexed="64"/>
      </patternFill>
    </fill>
    <fill>
      <patternFill patternType="solid">
        <fgColor theme="0"/>
        <bgColor indexed="64"/>
      </patternFill>
    </fill>
    <fill>
      <patternFill patternType="solid">
        <fgColor indexed="14"/>
        <bgColor indexed="64"/>
      </patternFill>
    </fill>
    <fill>
      <patternFill patternType="solid">
        <fgColor theme="4" tint="0.79998168889431442"/>
        <bgColor indexed="21"/>
      </patternFill>
    </fill>
    <fill>
      <patternFill patternType="solid">
        <fgColor theme="4" tint="0.79998168889431442"/>
        <bgColor indexed="8"/>
      </patternFill>
    </fill>
  </fills>
  <borders count="13">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s>
  <cellStyleXfs count="13">
    <xf numFmtId="0" fontId="0" fillId="0" borderId="0">
      <alignment vertical="center"/>
    </xf>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4" fillId="0" borderId="0">
      <alignment vertical="center"/>
    </xf>
    <xf numFmtId="0" fontId="4" fillId="0" borderId="0"/>
    <xf numFmtId="0" fontId="48" fillId="0" borderId="0" applyNumberFormat="0" applyFont="0" applyFill="0" applyBorder="0" applyAlignment="0" applyProtection="0">
      <alignment vertical="top"/>
      <protection locked="0"/>
    </xf>
    <xf numFmtId="0" fontId="49" fillId="0" borderId="0"/>
    <xf numFmtId="0" fontId="3" fillId="0" borderId="0">
      <alignment vertical="center"/>
    </xf>
    <xf numFmtId="0" fontId="49" fillId="0" borderId="0"/>
    <xf numFmtId="0" fontId="3" fillId="0" borderId="0">
      <alignment vertical="center"/>
    </xf>
    <xf numFmtId="0" fontId="51" fillId="0" borderId="0">
      <alignment vertical="center"/>
    </xf>
    <xf numFmtId="0" fontId="49" fillId="0" borderId="0"/>
    <xf numFmtId="0" fontId="5" fillId="2" borderId="1" applyNumberFormat="0" applyFont="0" applyFill="0" applyBorder="0" applyAlignment="0" applyProtection="0">
      <alignment horizontal="center" vertical="center"/>
      <protection hidden="1"/>
    </xf>
  </cellStyleXfs>
  <cellXfs count="131">
    <xf numFmtId="0" fontId="0" fillId="0" borderId="0" xfId="0">
      <alignment vertical="center"/>
    </xf>
    <xf numFmtId="0" fontId="9" fillId="0" borderId="0" xfId="0" applyFont="1">
      <alignment vertical="center"/>
    </xf>
    <xf numFmtId="0" fontId="11" fillId="5" borderId="2" xfId="1" applyFont="1" applyFill="1" applyBorder="1">
      <alignment horizontal="center" vertical="center"/>
      <protection hidden="1"/>
    </xf>
    <xf numFmtId="0" fontId="12" fillId="6" borderId="2" xfId="0" applyFont="1" applyFill="1" applyBorder="1" applyAlignment="1" applyProtection="1">
      <alignment horizontal="center" vertical="center"/>
      <protection hidden="1"/>
    </xf>
    <xf numFmtId="0" fontId="13" fillId="6" borderId="2" xfId="0" applyFont="1" applyFill="1" applyBorder="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4" fillId="7" borderId="0" xfId="0" applyFont="1" applyFill="1" applyProtection="1">
      <alignment vertical="center"/>
      <protection hidden="1"/>
    </xf>
    <xf numFmtId="0" fontId="0" fillId="7" borderId="0" xfId="0" applyFill="1" applyProtection="1">
      <alignment vertical="center"/>
      <protection hidden="1"/>
    </xf>
    <xf numFmtId="0" fontId="14" fillId="7" borderId="0" xfId="0" applyFont="1" applyFill="1" applyProtection="1">
      <alignment vertical="center"/>
      <protection hidden="1"/>
    </xf>
    <xf numFmtId="0" fontId="4"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Alignment="1" applyProtection="1">
      <alignment horizontal="left" vertical="center" indent="1"/>
      <protection hidden="1"/>
    </xf>
    <xf numFmtId="0" fontId="8" fillId="5" borderId="3" xfId="0" applyFont="1" applyFill="1" applyBorder="1" applyAlignment="1" applyProtection="1">
      <alignment horizontal="center" vertical="center"/>
      <protection hidden="1"/>
    </xf>
    <xf numFmtId="164" fontId="17" fillId="5" borderId="3" xfId="0" applyNumberFormat="1" applyFont="1" applyFill="1" applyBorder="1" applyProtection="1">
      <alignment vertical="center"/>
      <protection hidden="1"/>
    </xf>
    <xf numFmtId="0" fontId="20" fillId="0" borderId="0" xfId="0" applyFont="1" applyProtection="1">
      <alignment vertical="center"/>
      <protection hidden="1"/>
    </xf>
    <xf numFmtId="0" fontId="21" fillId="7" borderId="0" xfId="0" applyFont="1" applyFill="1" applyProtection="1">
      <alignment vertic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right" vertical="center"/>
      <protection hidden="1"/>
    </xf>
    <xf numFmtId="49" fontId="19" fillId="0" borderId="0" xfId="0" applyNumberFormat="1" applyFont="1" applyAlignment="1" applyProtection="1">
      <alignment horizontal="right" vertical="center"/>
      <protection hidden="1"/>
    </xf>
    <xf numFmtId="0" fontId="23" fillId="7" borderId="0" xfId="0" applyFont="1" applyFill="1" applyProtection="1">
      <alignment vertical="center"/>
      <protection hidden="1"/>
    </xf>
    <xf numFmtId="0" fontId="23" fillId="9" borderId="0" xfId="0" applyFont="1" applyFill="1" applyProtection="1">
      <alignment vertical="center"/>
      <protection hidden="1"/>
    </xf>
    <xf numFmtId="164" fontId="4" fillId="10" borderId="3" xfId="0" applyNumberFormat="1" applyFont="1" applyFill="1" applyBorder="1" applyAlignment="1" applyProtection="1">
      <alignment horizontal="right" vertical="center"/>
      <protection hidden="1"/>
    </xf>
    <xf numFmtId="0" fontId="24" fillId="0" borderId="4" xfId="0" applyFont="1" applyBorder="1" applyAlignment="1" applyProtection="1">
      <alignment horizontal="center" vertical="top"/>
      <protection hidden="1"/>
    </xf>
    <xf numFmtId="0" fontId="24" fillId="0" borderId="0" xfId="0" applyFont="1" applyAlignment="1" applyProtection="1">
      <alignment horizontal="center" vertical="top"/>
      <protection hidden="1"/>
    </xf>
    <xf numFmtId="0" fontId="26" fillId="11" borderId="0" xfId="0" applyFont="1" applyFill="1" applyAlignment="1" applyProtection="1">
      <alignment horizontal="center" vertical="center"/>
      <protection hidden="1"/>
    </xf>
    <xf numFmtId="164" fontId="17" fillId="0" borderId="3" xfId="0" applyNumberFormat="1" applyFont="1" applyBorder="1" applyProtection="1">
      <alignment vertical="center"/>
      <protection hidden="1"/>
    </xf>
    <xf numFmtId="0" fontId="27" fillId="0" borderId="0" xfId="0" applyFont="1" applyProtection="1">
      <alignment vertical="center"/>
      <protection hidden="1"/>
    </xf>
    <xf numFmtId="0" fontId="27" fillId="0" borderId="0" xfId="0" applyFont="1" applyAlignment="1" applyProtection="1">
      <alignment horizontal="right" vertical="center"/>
      <protection hidden="1"/>
    </xf>
    <xf numFmtId="9" fontId="27" fillId="0" borderId="0" xfId="0" applyNumberFormat="1" applyFont="1" applyProtection="1">
      <alignment vertical="center"/>
      <protection hidden="1"/>
    </xf>
    <xf numFmtId="3" fontId="27" fillId="0" borderId="0" xfId="0" applyNumberFormat="1" applyFont="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horizontal="right" vertical="center"/>
      <protection hidden="1"/>
    </xf>
    <xf numFmtId="0" fontId="23" fillId="12" borderId="0" xfId="0" applyFont="1" applyFill="1" applyProtection="1">
      <alignment vertical="center"/>
      <protection hidden="1"/>
    </xf>
    <xf numFmtId="164" fontId="8" fillId="8" borderId="3" xfId="2" applyNumberFormat="1" applyFont="1" applyFill="1" applyBorder="1" applyAlignment="1" applyProtection="1">
      <alignment vertical="center"/>
      <protection hidden="1"/>
    </xf>
    <xf numFmtId="9" fontId="8" fillId="8" borderId="3" xfId="2" applyFont="1" applyFill="1" applyBorder="1" applyAlignment="1" applyProtection="1">
      <alignment vertical="center"/>
      <protection hidden="1"/>
    </xf>
    <xf numFmtId="10" fontId="8" fillId="8" borderId="3" xfId="2" applyNumberFormat="1" applyFont="1" applyFill="1" applyBorder="1" applyAlignment="1" applyProtection="1">
      <alignment vertical="center"/>
      <protection hidden="1"/>
    </xf>
    <xf numFmtId="3" fontId="8" fillId="8" borderId="3" xfId="2" applyNumberFormat="1" applyFont="1" applyFill="1" applyBorder="1" applyAlignment="1" applyProtection="1">
      <alignment vertical="center"/>
      <protection hidden="1"/>
    </xf>
    <xf numFmtId="9" fontId="27" fillId="0" borderId="0" xfId="2" applyFont="1" applyAlignment="1" applyProtection="1">
      <alignment vertical="center"/>
      <protection hidden="1"/>
    </xf>
    <xf numFmtId="14" fontId="27" fillId="0" borderId="0" xfId="0" applyNumberFormat="1" applyFont="1" applyProtection="1">
      <alignment vertical="center"/>
      <protection hidden="1"/>
    </xf>
    <xf numFmtId="3" fontId="8" fillId="8" borderId="6" xfId="0" applyNumberFormat="1" applyFont="1" applyFill="1" applyBorder="1" applyProtection="1">
      <alignment vertical="center"/>
      <protection hidden="1"/>
    </xf>
    <xf numFmtId="164" fontId="17" fillId="5" borderId="6" xfId="0" applyNumberFormat="1" applyFont="1" applyFill="1" applyBorder="1" applyProtection="1">
      <alignment vertical="center"/>
      <protection hidden="1"/>
    </xf>
    <xf numFmtId="0" fontId="24" fillId="0" borderId="0" xfId="0" applyFont="1" applyAlignment="1" applyProtection="1">
      <alignment horizontal="right" vertical="center"/>
      <protection hidden="1"/>
    </xf>
    <xf numFmtId="0" fontId="23" fillId="9" borderId="0" xfId="0" applyFont="1" applyFill="1" applyProtection="1">
      <alignment vertical="center"/>
      <protection locked="0" hidden="1"/>
    </xf>
    <xf numFmtId="0" fontId="28" fillId="14" borderId="0" xfId="0" applyFont="1" applyFill="1" applyProtection="1">
      <alignment vertical="center"/>
      <protection hidden="1"/>
    </xf>
    <xf numFmtId="14" fontId="27" fillId="14" borderId="0" xfId="0" applyNumberFormat="1" applyFont="1" applyFill="1" applyProtection="1">
      <alignment vertical="center"/>
      <protection hidden="1"/>
    </xf>
    <xf numFmtId="0" fontId="28" fillId="13" borderId="0" xfId="0" applyFont="1" applyFill="1" applyProtection="1">
      <alignment vertical="center"/>
      <protection locked="0" hidden="1"/>
    </xf>
    <xf numFmtId="0" fontId="29" fillId="0" borderId="0" xfId="0" applyFont="1" applyProtection="1">
      <alignment vertical="center"/>
      <protection hidden="1"/>
    </xf>
    <xf numFmtId="0" fontId="27" fillId="0" borderId="0" xfId="0" applyFont="1" applyFill="1" applyAlignment="1" applyProtection="1">
      <alignment horizontal="right" vertical="center"/>
      <protection hidden="1"/>
    </xf>
    <xf numFmtId="0" fontId="27" fillId="0" borderId="0" xfId="2" applyNumberFormat="1" applyFont="1" applyFill="1" applyAlignment="1" applyProtection="1">
      <alignment vertical="center"/>
      <protection hidden="1"/>
    </xf>
    <xf numFmtId="0" fontId="27" fillId="0" borderId="0" xfId="0" applyNumberFormat="1" applyFont="1" applyFill="1" applyProtection="1">
      <alignment vertical="center"/>
      <protection hidden="1"/>
    </xf>
    <xf numFmtId="0" fontId="26" fillId="11" borderId="0" xfId="0"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28" fillId="0" borderId="0" xfId="0" applyFont="1" applyFill="1" applyAlignment="1" applyProtection="1">
      <alignment horizontal="right" vertical="center"/>
      <protection hidden="1"/>
    </xf>
    <xf numFmtId="0" fontId="27" fillId="0" borderId="0" xfId="0" quotePrefix="1" applyFont="1" applyFill="1" applyAlignment="1" applyProtection="1">
      <alignment horizontal="right" vertical="center"/>
      <protection hidden="1"/>
    </xf>
    <xf numFmtId="0" fontId="27" fillId="0" borderId="0" xfId="0" applyFont="1" applyAlignment="1" applyProtection="1">
      <alignment horizontal="center" vertical="center"/>
      <protection hidden="1"/>
    </xf>
    <xf numFmtId="0" fontId="38" fillId="0" borderId="0" xfId="0" applyFont="1" applyProtection="1">
      <alignment vertical="center"/>
      <protection hidden="1"/>
    </xf>
    <xf numFmtId="0" fontId="1" fillId="0" borderId="0" xfId="3" applyFont="1" applyFill="1">
      <alignment vertical="center"/>
    </xf>
    <xf numFmtId="0" fontId="1" fillId="0" borderId="0" xfId="3" applyFont="1" applyFill="1" applyAlignment="1">
      <alignment horizontal="right" vertical="center"/>
    </xf>
    <xf numFmtId="14" fontId="27" fillId="0" borderId="0" xfId="0" applyNumberFormat="1" applyFont="1" applyAlignment="1" applyProtection="1">
      <alignment horizontal="right" vertical="center"/>
      <protection hidden="1"/>
    </xf>
    <xf numFmtId="0" fontId="27" fillId="0" borderId="0" xfId="0" quotePrefix="1" applyFont="1" applyAlignment="1" applyProtection="1">
      <alignment horizontal="right" vertical="center"/>
      <protection hidden="1"/>
    </xf>
    <xf numFmtId="0" fontId="27" fillId="0" borderId="0" xfId="0" quotePrefix="1" applyFont="1" applyAlignment="1" applyProtection="1">
      <alignment horizontal="left" vertical="center"/>
      <protection hidden="1"/>
    </xf>
    <xf numFmtId="0" fontId="39" fillId="0" borderId="7" xfId="0" applyFont="1" applyBorder="1" applyProtection="1">
      <alignment vertical="center"/>
      <protection hidden="1"/>
    </xf>
    <xf numFmtId="0" fontId="27" fillId="0" borderId="0" xfId="0" quotePrefix="1" applyFont="1" applyAlignment="1" applyProtection="1">
      <alignment horizontal="center" vertical="center"/>
      <protection hidden="1"/>
    </xf>
    <xf numFmtId="0" fontId="39" fillId="0" borderId="0" xfId="0" applyFont="1" applyBorder="1" applyProtection="1">
      <alignment vertical="center"/>
      <protection hidden="1"/>
    </xf>
    <xf numFmtId="0" fontId="4" fillId="0" borderId="0" xfId="0" quotePrefix="1" applyFont="1" applyAlignment="1" applyProtection="1">
      <alignment horizontal="left" vertical="center" indent="1"/>
      <protection hidden="1"/>
    </xf>
    <xf numFmtId="0" fontId="4" fillId="0" borderId="0" xfId="0" applyFont="1" applyAlignment="1" applyProtection="1">
      <alignment horizontal="left" vertical="center" indent="2"/>
      <protection hidden="1"/>
    </xf>
    <xf numFmtId="9" fontId="27" fillId="0" borderId="0" xfId="0" applyNumberFormat="1" applyFont="1" applyFill="1" applyProtection="1">
      <alignment vertical="center"/>
      <protection hidden="1"/>
    </xf>
    <xf numFmtId="0" fontId="38" fillId="0" borderId="0" xfId="0" applyFont="1" applyFill="1" applyProtection="1">
      <alignment vertical="center"/>
      <protection hidden="1"/>
    </xf>
    <xf numFmtId="3" fontId="27" fillId="0" borderId="8" xfId="0" applyNumberFormat="1" applyFont="1" applyFill="1" applyBorder="1" applyProtection="1">
      <alignment vertical="center"/>
      <protection hidden="1"/>
    </xf>
    <xf numFmtId="9" fontId="27" fillId="0" borderId="0" xfId="2" applyFont="1" applyFill="1" applyAlignment="1" applyProtection="1">
      <alignment vertical="center"/>
      <protection hidden="1"/>
    </xf>
    <xf numFmtId="0" fontId="4" fillId="0" borderId="0" xfId="0" applyFont="1" applyAlignment="1">
      <alignment horizontal="left" vertical="center"/>
    </xf>
    <xf numFmtId="0" fontId="0" fillId="0" borderId="8" xfId="0" applyBorder="1">
      <alignment vertical="center"/>
    </xf>
    <xf numFmtId="0" fontId="43" fillId="0" borderId="0" xfId="0" applyFont="1" applyFill="1" applyProtection="1">
      <alignment vertical="center"/>
      <protection hidden="1"/>
    </xf>
    <xf numFmtId="165" fontId="4" fillId="10" borderId="3" xfId="2" applyNumberFormat="1" applyFont="1" applyFill="1" applyBorder="1" applyAlignment="1" applyProtection="1">
      <alignment horizontal="center" vertical="center"/>
      <protection hidden="1"/>
    </xf>
    <xf numFmtId="165" fontId="4" fillId="10" borderId="0" xfId="2" applyNumberFormat="1" applyFont="1" applyFill="1" applyBorder="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19" fillId="13" borderId="0" xfId="0" applyFont="1" applyFill="1" applyAlignment="1" applyProtection="1">
      <protection locked="0" hidden="1"/>
    </xf>
    <xf numFmtId="0" fontId="19" fillId="0" borderId="0" xfId="0" applyFont="1" applyAlignment="1" applyProtection="1">
      <alignment horizontal="left"/>
      <protection hidden="1"/>
    </xf>
    <xf numFmtId="0" fontId="19" fillId="0" borderId="0" xfId="0" applyFont="1" applyAlignment="1" applyProtection="1">
      <protection hidden="1"/>
    </xf>
    <xf numFmtId="0" fontId="19" fillId="0" borderId="0" xfId="0" applyFont="1" applyAlignment="1" applyProtection="1">
      <alignment horizontal="left" indent="1"/>
      <protection hidden="1"/>
    </xf>
    <xf numFmtId="0" fontId="45" fillId="16" borderId="0" xfId="0" applyNumberFormat="1" applyFont="1" applyFill="1" applyProtection="1">
      <alignment vertical="center"/>
      <protection hidden="1"/>
    </xf>
    <xf numFmtId="0" fontId="46" fillId="0" borderId="0" xfId="0" applyFont="1" applyFill="1" applyProtection="1">
      <alignment vertical="center"/>
      <protection hidden="1"/>
    </xf>
    <xf numFmtId="0" fontId="25" fillId="0" borderId="0" xfId="0" applyFont="1" applyAlignment="1" applyProtection="1">
      <alignment horizontal="right"/>
      <protection hidden="1"/>
    </xf>
    <xf numFmtId="10" fontId="47" fillId="0" borderId="0" xfId="0" applyNumberFormat="1" applyFont="1" applyFill="1" applyAlignment="1" applyProtection="1">
      <protection hidden="1"/>
    </xf>
    <xf numFmtId="10" fontId="27" fillId="0" borderId="0" xfId="0" applyNumberFormat="1" applyFont="1" applyFill="1" applyProtection="1">
      <alignment vertical="center"/>
      <protection hidden="1"/>
    </xf>
    <xf numFmtId="10" fontId="27" fillId="0" borderId="0" xfId="0" applyNumberFormat="1" applyFont="1" applyAlignment="1" applyProtection="1">
      <alignment horizontal="center" vertical="center"/>
      <protection hidden="1"/>
    </xf>
    <xf numFmtId="168" fontId="28" fillId="0" borderId="0" xfId="0" applyNumberFormat="1" applyFont="1" applyAlignment="1" applyProtection="1">
      <alignment horizontal="right" vertical="center"/>
      <protection hidden="1"/>
    </xf>
    <xf numFmtId="0" fontId="27" fillId="0" borderId="0" xfId="0" applyFont="1" applyFill="1" applyAlignment="1" applyProtection="1">
      <alignment horizontal="left" vertical="center"/>
      <protection hidden="1"/>
    </xf>
    <xf numFmtId="0" fontId="47" fillId="0" borderId="0" xfId="0" applyNumberFormat="1" applyFont="1" applyFill="1" applyAlignment="1" applyProtection="1">
      <protection hidden="1"/>
    </xf>
    <xf numFmtId="169" fontId="47" fillId="0" borderId="0" xfId="0" applyNumberFormat="1" applyFont="1" applyFill="1" applyAlignment="1" applyProtection="1">
      <protection hidden="1"/>
    </xf>
    <xf numFmtId="169" fontId="45" fillId="16" borderId="0" xfId="0" applyNumberFormat="1" applyFont="1" applyFill="1" applyProtection="1">
      <alignment vertical="center"/>
      <protection hidden="1"/>
    </xf>
    <xf numFmtId="0" fontId="0" fillId="0" borderId="0" xfId="0" applyFill="1" applyBorder="1" applyAlignment="1">
      <alignment vertical="center"/>
    </xf>
    <xf numFmtId="0" fontId="53" fillId="0" borderId="0" xfId="6" applyFont="1" applyAlignment="1">
      <alignment horizontal="right"/>
    </xf>
    <xf numFmtId="0" fontId="17" fillId="16" borderId="3" xfId="0" applyFont="1" applyFill="1" applyBorder="1" applyAlignment="1" applyProtection="1">
      <alignment horizontal="right" vertical="center"/>
      <protection locked="0" hidden="1"/>
    </xf>
    <xf numFmtId="0" fontId="17" fillId="16" borderId="6" xfId="0" applyFont="1" applyFill="1" applyBorder="1" applyAlignment="1" applyProtection="1">
      <alignment horizontal="right" vertical="center"/>
      <protection locked="0" hidden="1"/>
    </xf>
    <xf numFmtId="0" fontId="17" fillId="16" borderId="3" xfId="0" applyFont="1" applyFill="1" applyBorder="1" applyAlignment="1" applyProtection="1">
      <alignment horizontal="right" vertical="center"/>
      <protection hidden="1"/>
    </xf>
    <xf numFmtId="164" fontId="17" fillId="16" borderId="3" xfId="0" applyNumberFormat="1" applyFont="1" applyFill="1" applyBorder="1" applyProtection="1">
      <alignment vertical="center"/>
      <protection locked="0" hidden="1"/>
    </xf>
    <xf numFmtId="166" fontId="17" fillId="16" borderId="3" xfId="0" applyNumberFormat="1" applyFont="1" applyFill="1" applyBorder="1" applyProtection="1">
      <alignment vertical="center"/>
      <protection hidden="1"/>
    </xf>
    <xf numFmtId="0" fontId="4" fillId="16" borderId="0" xfId="0" applyFont="1" applyFill="1" applyAlignment="1" applyProtection="1">
      <alignment horizontal="left" vertical="center" indent="1"/>
      <protection hidden="1"/>
    </xf>
    <xf numFmtId="0" fontId="55" fillId="0" borderId="0" xfId="0" applyFont="1" applyAlignment="1" applyProtection="1">
      <alignment horizontal="center" vertical="center"/>
      <protection hidden="1"/>
    </xf>
    <xf numFmtId="164" fontId="17" fillId="16" borderId="3" xfId="0" applyNumberFormat="1" applyFont="1" applyFill="1" applyBorder="1" applyProtection="1">
      <alignment vertical="center"/>
      <protection locked="0"/>
    </xf>
    <xf numFmtId="0" fontId="50" fillId="17" borderId="0" xfId="0" applyFont="1" applyFill="1" applyAlignment="1" applyProtection="1">
      <alignment horizontal="center" vertical="center"/>
      <protection hidden="1"/>
    </xf>
    <xf numFmtId="0" fontId="57" fillId="0" borderId="0" xfId="0" applyFont="1" applyAlignment="1" applyProtection="1">
      <alignment horizontal="left" vertical="center" indent="2"/>
      <protection hidden="1"/>
    </xf>
    <xf numFmtId="0" fontId="4" fillId="0" borderId="12" xfId="0" applyFont="1" applyBorder="1" applyAlignment="1" applyProtection="1">
      <alignment horizontal="center" vertical="center"/>
      <protection hidden="1"/>
    </xf>
    <xf numFmtId="167" fontId="44" fillId="16" borderId="0" xfId="0" applyNumberFormat="1" applyFont="1" applyFill="1" applyBorder="1" applyAlignment="1" applyProtection="1">
      <alignment horizontal="right" vertical="center"/>
      <protection hidden="1"/>
    </xf>
    <xf numFmtId="0" fontId="7" fillId="3" borderId="0" xfId="0" applyFont="1" applyFill="1">
      <alignment vertical="center"/>
    </xf>
    <xf numFmtId="0" fontId="0" fillId="4" borderId="0" xfId="0" applyFill="1">
      <alignment vertical="center"/>
    </xf>
    <xf numFmtId="0" fontId="58" fillId="0" borderId="0" xfId="0" applyFont="1" applyAlignment="1" applyProtection="1">
      <alignment horizontal="left" vertical="center"/>
      <protection hidden="1"/>
    </xf>
    <xf numFmtId="0" fontId="0" fillId="17" borderId="0" xfId="0" applyFill="1">
      <alignment vertical="center"/>
    </xf>
    <xf numFmtId="0" fontId="59" fillId="0" borderId="0" xfId="0" applyFont="1" applyAlignment="1">
      <alignment horizontal="right"/>
    </xf>
    <xf numFmtId="0" fontId="60" fillId="0" borderId="0" xfId="0" applyFont="1" applyAlignment="1">
      <alignment horizontal="left" vertical="top" indent="3"/>
    </xf>
    <xf numFmtId="0" fontId="62" fillId="0" borderId="0" xfId="0" applyFont="1" applyAlignment="1">
      <alignment horizontal="left" vertical="top" indent="3"/>
    </xf>
    <xf numFmtId="0" fontId="62" fillId="0" borderId="0" xfId="7" applyFont="1" applyFill="1" applyBorder="1" applyAlignment="1">
      <alignment vertical="top"/>
    </xf>
    <xf numFmtId="0" fontId="6" fillId="0" borderId="0" xfId="0" applyFont="1" applyAlignment="1">
      <alignment vertical="top"/>
    </xf>
    <xf numFmtId="0" fontId="0" fillId="0" borderId="0" xfId="0" applyAlignment="1" applyProtection="1">
      <alignment vertical="center"/>
      <protection hidden="1"/>
    </xf>
    <xf numFmtId="0" fontId="61" fillId="0" borderId="0" xfId="0" applyFont="1" applyFill="1" applyBorder="1" applyAlignment="1">
      <alignment horizontal="left" vertical="top" wrapText="1"/>
    </xf>
    <xf numFmtId="0" fontId="60" fillId="0" borderId="0" xfId="0" applyFont="1" applyFill="1" applyBorder="1" applyAlignment="1">
      <alignment horizontal="left" vertical="top" wrapText="1"/>
    </xf>
    <xf numFmtId="0" fontId="63" fillId="18" borderId="0" xfId="1" applyFont="1" applyFill="1" applyBorder="1" applyAlignment="1" applyProtection="1">
      <alignment horizontal="left" vertical="center" indent="1"/>
    </xf>
    <xf numFmtId="0" fontId="30" fillId="19" borderId="0" xfId="1" applyFont="1" applyFill="1" applyBorder="1" applyAlignment="1" applyProtection="1">
      <alignment horizontal="left" vertical="center" wrapText="1"/>
    </xf>
    <xf numFmtId="0" fontId="31" fillId="20" borderId="0" xfId="0" applyFont="1" applyFill="1" applyBorder="1" applyAlignment="1" applyProtection="1">
      <alignment horizontal="left" vertical="center" indent="1"/>
    </xf>
    <xf numFmtId="0" fontId="34" fillId="20" borderId="0" xfId="0" applyFont="1" applyFill="1" applyBorder="1" applyAlignment="1" applyProtection="1">
      <alignment horizontal="left" vertical="center" indent="1"/>
    </xf>
    <xf numFmtId="164" fontId="17" fillId="5" borderId="5" xfId="0" applyNumberFormat="1" applyFont="1" applyFill="1" applyBorder="1" applyAlignment="1" applyProtection="1">
      <alignment horizontal="center" vertical="center"/>
      <protection hidden="1"/>
    </xf>
    <xf numFmtId="164" fontId="17" fillId="5" borderId="6" xfId="0" applyNumberFormat="1" applyFont="1" applyFill="1" applyBorder="1" applyAlignment="1" applyProtection="1">
      <alignment horizontal="center" vertical="center"/>
      <protection hidden="1"/>
    </xf>
    <xf numFmtId="164" fontId="36" fillId="15" borderId="4" xfId="0" applyNumberFormat="1"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0"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cellXfs>
  <cellStyles count="13">
    <cellStyle name="Hyperlink" xfId="1" builtinId="8"/>
    <cellStyle name="Hyperlink 2" xfId="5"/>
    <cellStyle name="Hyperlink 2 2 2" xfId="12"/>
    <cellStyle name="Normal" xfId="0" builtinId="0"/>
    <cellStyle name="Normal 2" xfId="6"/>
    <cellStyle name="Normal 2 2" xfId="7"/>
    <cellStyle name="Normal 2 2 2" xfId="8"/>
    <cellStyle name="Normal 2 2 2 2" xfId="9"/>
    <cellStyle name="Normal 2 3" xfId="11"/>
    <cellStyle name="Normal 4" xfId="3"/>
    <cellStyle name="Normal 5" xfId="4"/>
    <cellStyle name="Normal 6" xfId="10"/>
    <cellStyle name="Percent 2" xfId="2"/>
  </cellStyles>
  <dxfs count="12">
    <dxf>
      <font>
        <condense val="0"/>
        <extend val="0"/>
        <color indexed="13"/>
      </font>
    </dxf>
    <dxf>
      <font>
        <condense val="0"/>
        <extend val="0"/>
        <color indexed="13"/>
      </font>
    </dxf>
    <dxf>
      <font>
        <condense val="0"/>
        <extend val="0"/>
        <color indexed="13"/>
      </font>
    </dxf>
    <dxf>
      <font>
        <condense val="0"/>
        <extend val="0"/>
        <color indexed="13"/>
      </font>
    </dxf>
    <dxf>
      <fill>
        <patternFill patternType="gray125"/>
      </fill>
      <border>
        <left/>
        <right/>
        <top/>
        <bottom/>
      </border>
    </dxf>
    <dxf>
      <font>
        <condense val="0"/>
        <extend val="0"/>
        <color indexed="53"/>
      </font>
      <fill>
        <patternFill>
          <bgColor indexed="53"/>
        </patternFill>
      </fill>
    </dxf>
    <dxf>
      <font>
        <color theme="0"/>
      </font>
      <fill>
        <patternFill patternType="none">
          <bgColor auto="1"/>
        </patternFill>
      </fill>
    </dxf>
    <dxf>
      <font>
        <condense val="0"/>
        <extend val="0"/>
        <color indexed="53"/>
      </font>
      <fill>
        <patternFill>
          <bgColor indexed="53"/>
        </patternFill>
      </fill>
    </dxf>
    <dxf>
      <font>
        <color theme="0" tint="-0.24994659260841701"/>
      </font>
      <fill>
        <patternFill patternType="gray125">
          <bgColor theme="0" tint="-0.24994659260841701"/>
        </patternFill>
      </fill>
    </dxf>
    <dxf>
      <font>
        <condense val="0"/>
        <extend val="0"/>
        <color indexed="53"/>
      </font>
    </dxf>
    <dxf>
      <font>
        <condense val="0"/>
        <extend val="0"/>
        <color indexed="53"/>
      </font>
    </dxf>
    <dxf>
      <font>
        <condense val="0"/>
        <extend val="0"/>
        <color indexed="53"/>
      </font>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calc!$C$10" fmlaRange="calc!$D$11:$D$22" sel="1" val="0"/>
</file>

<file path=xl/ctrlProps/ctrlProp2.xml><?xml version="1.0" encoding="utf-8"?>
<formControlPr xmlns="http://schemas.microsoft.com/office/spreadsheetml/2009/9/main" objectType="Drop" dropStyle="combo" dx="22" fmlaLink="calc!$C$33" fmlaRange="calc!$D$34:$D$41" sel="8" val="0"/>
</file>

<file path=xl/ctrlProps/ctrlProp3.xml><?xml version="1.0" encoding="utf-8"?>
<formControlPr xmlns="http://schemas.microsoft.com/office/spreadsheetml/2009/9/main" objectType="Drop" dropLines="2" dropStyle="combo" dx="22" fmlaLink="calc!$C$44" fmlaRange="calc!$D$45:$D$46" sel="1" val="0"/>
</file>

<file path=xl/ctrlProps/ctrlProp4.xml><?xml version="1.0" encoding="utf-8"?>
<formControlPr xmlns="http://schemas.microsoft.com/office/spreadsheetml/2009/9/main" objectType="Drop" dropLines="31" dropStyle="combo" dx="22" fmlaLink="calc!$E$9" fmlaRange="Dagen_invulveld" sel="1" val="0"/>
</file>

<file path=xl/ctrlProps/ctrlProp5.xml><?xml version="1.0" encoding="utf-8"?>
<formControlPr xmlns="http://schemas.microsoft.com/office/spreadsheetml/2009/9/main" objectType="Scroll" dx="15" fmlaLink="calc!$D$3" horiz="1" max="366" min="1" page="30" val="2"/>
</file>

<file path=xl/ctrlProps/ctrlProp6.xml><?xml version="1.0" encoding="utf-8"?>
<formControlPr xmlns="http://schemas.microsoft.com/office/spreadsheetml/2009/9/main" objectType="CheckBox" fmlaLink="'1'!$G$15" lockText="1"/>
</file>

<file path=xl/ctrlProps/ctrlProp7.xml><?xml version="1.0" encoding="utf-8"?>
<formControlPr xmlns="http://schemas.microsoft.com/office/spreadsheetml/2009/9/main" objectType="CheckBox" fmlaLink="$H$8" lockText="1"/>
</file>

<file path=xl/ctrlProps/ctrlProp8.xml><?xml version="1.0" encoding="utf-8"?>
<formControlPr xmlns="http://schemas.microsoft.com/office/spreadsheetml/2009/9/main" objectType="Scroll" dx="15" fmlaLink="calc!$C$3" horiz="1" max="2922" page="30" val="0"/>
</file>

<file path=xl/ctrlProps/ctrlProp9.xml><?xml version="1.0" encoding="utf-8"?>
<formControlPr xmlns="http://schemas.microsoft.com/office/spreadsheetml/2009/9/main" objectType="Drop" dropLines="2" dropStyle="combo" dx="22" fmlaLink="calc!$G$4" fmlaRange="Aanschafjaar" sel="2" val="0"/>
</file>

<file path=xl/ctrlProps/ctrlProp10.xml><?xml version="1.0" encoding="utf-8"?>
<formControlPr xmlns="http://schemas.microsoft.com/office/spreadsheetml/2009/9/main" objectType="Scroll" dx="15" fmlaLink="calc!$C$49" horiz="1" max="1559" min="467" page="30" val="831"/>
</file>

<file path=xl/ctrlProps/ctrlProp11.xml><?xml version="1.0" encoding="utf-8"?>
<formControlPr xmlns="http://schemas.microsoft.com/office/spreadsheetml/2009/9/main" objectType="Drop" dropLines="4" dropStyle="combo" dx="22" fmlaLink="calc!$K$32" fmlaRange="calc!$L$33:$L$36"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6</xdr:row>
      <xdr:rowOff>0</xdr:rowOff>
    </xdr:from>
    <xdr:to>
      <xdr:col>18</xdr:col>
      <xdr:colOff>0</xdr:colOff>
      <xdr:row>12</xdr:row>
      <xdr:rowOff>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561975" y="2762250"/>
          <a:ext cx="6477000" cy="14859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defRPr sz="1000"/>
          </a:pPr>
          <a:r>
            <a:rPr kumimoji="0" lang="en-GB" sz="1200" b="0" i="0" u="none" strike="noStrike" kern="0" cap="none" spc="0" normalizeH="0" baseline="0" noProof="0">
              <a:ln>
                <a:noFill/>
              </a:ln>
              <a:solidFill>
                <a:srgbClr val="000000"/>
              </a:solidFill>
              <a:effectLst/>
              <a:uLnTx/>
              <a:uFillTx/>
              <a:latin typeface="Tahoma"/>
              <a:ea typeface="+mn-ea"/>
              <a:cs typeface="Tahoma"/>
            </a:rPr>
            <a:t>Le calcul de l'avantage de toute nature relatif à une voiture de société tient compte</a:t>
          </a:r>
          <a:r>
            <a:rPr kumimoji="0" lang="en-GB" sz="1000" b="0" i="0" u="none" strike="noStrike" kern="0" cap="none" spc="0" normalizeH="0" baseline="0" noProof="0">
              <a:ln>
                <a:noFill/>
              </a:ln>
              <a:solidFill>
                <a:srgbClr val="000000"/>
              </a:solidFill>
              <a:effectLst/>
              <a:uLnTx/>
              <a:uFillTx/>
              <a:latin typeface="+mn-lt"/>
              <a:ea typeface="+mn-ea"/>
              <a:cs typeface="Calibri"/>
            </a:rPr>
            <a:t> </a:t>
          </a:r>
          <a:r>
            <a:rPr kumimoji="0" lang="en-GB" sz="1200" b="0" i="0" u="none" strike="noStrike" kern="0" cap="none" spc="0" normalizeH="0" baseline="0" noProof="0">
              <a:ln>
                <a:noFill/>
              </a:ln>
              <a:solidFill>
                <a:srgbClr val="000000"/>
              </a:solidFill>
              <a:effectLst/>
              <a:uLnTx/>
              <a:uFillTx/>
              <a:latin typeface="Tahoma"/>
              <a:ea typeface="+mn-ea"/>
              <a:cs typeface="Tahoma"/>
            </a:rPr>
            <a:t>de des émissions de CO</a:t>
          </a:r>
          <a:r>
            <a:rPr kumimoji="0" lang="en-GB" sz="1200" b="0" i="0" u="none" strike="noStrike" kern="0" cap="none" spc="0" normalizeH="0" baseline="-25000" noProof="0">
              <a:ln>
                <a:noFill/>
              </a:ln>
              <a:solidFill>
                <a:srgbClr val="000000"/>
              </a:solidFill>
              <a:effectLst/>
              <a:uLnTx/>
              <a:uFillTx/>
              <a:latin typeface="Tahoma"/>
              <a:ea typeface="+mn-ea"/>
              <a:cs typeface="Tahoma"/>
            </a:rPr>
            <a:t>2</a:t>
          </a:r>
          <a:r>
            <a:rPr kumimoji="0" lang="en-GB" sz="1200" b="0" i="0" u="none" strike="noStrike" kern="0" cap="none" spc="0" normalizeH="0" baseline="0" noProof="0">
              <a:ln>
                <a:noFill/>
              </a:ln>
              <a:solidFill>
                <a:srgbClr val="000000"/>
              </a:solidFill>
              <a:effectLst/>
              <a:uLnTx/>
              <a:uFillTx/>
              <a:latin typeface="Tahoma"/>
              <a:ea typeface="+mn-ea"/>
              <a:cs typeface="Tahoma"/>
            </a:rPr>
            <a:t> et de la valeur catalogue du véhicule, à savoir le prix facturé TVA et options incluses, mais hors remises</a:t>
          </a:r>
          <a:r>
            <a:rPr lang="nl-NL" sz="1200" b="0" i="0" u="none" strike="noStrike" baseline="0">
              <a:solidFill>
                <a:srgbClr val="000000"/>
              </a:solidFill>
              <a:latin typeface="Tahoma"/>
              <a:ea typeface="Tahoma"/>
              <a:cs typeface="Tahoma"/>
            </a:rPr>
            <a:t>. </a:t>
          </a:r>
        </a:p>
        <a:p>
          <a:pPr algn="l" rtl="0">
            <a:lnSpc>
              <a:spcPts val="1300"/>
            </a:lnSpc>
            <a:defRPr sz="1000"/>
          </a:pPr>
          <a:r>
            <a:rPr lang="nl-NL" sz="1200" b="0" i="0" u="none" strike="noStrike" baseline="0">
              <a:solidFill>
                <a:srgbClr val="000000"/>
              </a:solidFill>
              <a:latin typeface="Tahoma"/>
              <a:ea typeface="Tahoma"/>
              <a:cs typeface="Tahoma"/>
            </a:rPr>
            <a:t>Depuis le 01.01.2017, le montant ajouté aux dépenses non admises dansle chef de la société est passé de 17 à 40% lorsque celle-ci prend également en charge les frais de carburant.  </a:t>
          </a:r>
        </a:p>
        <a:p>
          <a:pPr algn="l" rtl="0">
            <a:lnSpc>
              <a:spcPts val="1100"/>
            </a:lnSpc>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0</xdr:colOff>
      <xdr:row>17</xdr:row>
      <xdr:rowOff>0</xdr:rowOff>
    </xdr:from>
    <xdr:to>
      <xdr:col>17</xdr:col>
      <xdr:colOff>0</xdr:colOff>
      <xdr:row>18</xdr:row>
      <xdr:rowOff>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5514975" y="5486400"/>
          <a:ext cx="971550" cy="247650"/>
          <a:chOff x="878" y="692"/>
          <a:chExt cx="40" cy="52"/>
        </a:xfrm>
      </xdr:grpSpPr>
      <xdr:sp macro="" textlink="">
        <xdr:nvSpPr>
          <xdr:cNvPr id="5" name="Line 10">
            <a:extLst>
              <a:ext uri="{FF2B5EF4-FFF2-40B4-BE49-F238E27FC236}">
                <a16:creationId xmlns:a16="http://schemas.microsoft.com/office/drawing/2014/main" id="{00000000-0008-0000-0000-000005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00000000-0008-0000-0000-000006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7" name="Line 12">
            <a:extLst>
              <a:ext uri="{FF2B5EF4-FFF2-40B4-BE49-F238E27FC236}">
                <a16:creationId xmlns:a16="http://schemas.microsoft.com/office/drawing/2014/main" id="{00000000-0008-0000-0000-000007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8043</xdr:colOff>
      <xdr:row>12</xdr:row>
      <xdr:rowOff>245139</xdr:rowOff>
    </xdr:from>
    <xdr:ext cx="155364" cy="231033"/>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570018" y="4493289"/>
          <a:ext cx="155364" cy="231033"/>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2</xdr:col>
      <xdr:colOff>0</xdr:colOff>
      <xdr:row>14</xdr:row>
      <xdr:rowOff>0</xdr:rowOff>
    </xdr:from>
    <xdr:to>
      <xdr:col>18</xdr:col>
      <xdr:colOff>0</xdr:colOff>
      <xdr:row>17</xdr:row>
      <xdr:rowOff>0</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561975" y="4743450"/>
          <a:ext cx="6477000" cy="7429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Utilisez ce module de calcul pour déterminer le montant de l'avantage imposable relatif à votre voiture de société en 2021.</a:t>
          </a:r>
        </a:p>
      </xdr:txBody>
    </xdr:sp>
    <xdr:clientData/>
  </xdr:twoCellAnchor>
  <xdr:oneCellAnchor>
    <xdr:from>
      <xdr:col>2</xdr:col>
      <xdr:colOff>0</xdr:colOff>
      <xdr:row>5</xdr:row>
      <xdr:rowOff>0</xdr:rowOff>
    </xdr:from>
    <xdr:ext cx="155364" cy="231033"/>
    <xdr:sp macro="" textlink="">
      <xdr:nvSpPr>
        <xdr:cNvPr id="11" name="Text Box 25">
          <a:extLst>
            <a:ext uri="{FF2B5EF4-FFF2-40B4-BE49-F238E27FC236}">
              <a16:creationId xmlns:a16="http://schemas.microsoft.com/office/drawing/2014/main" id="{00000000-0008-0000-0000-00000B000000}"/>
            </a:ext>
          </a:extLst>
        </xdr:cNvPr>
        <xdr:cNvSpPr txBox="1">
          <a:spLocks noChangeArrowheads="1"/>
        </xdr:cNvSpPr>
      </xdr:nvSpPr>
      <xdr:spPr bwMode="auto">
        <a:xfrm>
          <a:off x="561975" y="2514600"/>
          <a:ext cx="155364" cy="231033"/>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16</xdr:col>
      <xdr:colOff>523875</xdr:colOff>
      <xdr:row>21</xdr:row>
      <xdr:rowOff>238125</xdr:rowOff>
    </xdr:from>
    <xdr:to>
      <xdr:col>17</xdr:col>
      <xdr:colOff>9267</xdr:colOff>
      <xdr:row>23</xdr:row>
      <xdr:rowOff>238125</xdr:rowOff>
    </xdr:to>
    <xdr:sp macro="" textlink="">
      <xdr:nvSpPr>
        <xdr:cNvPr id="12" name="Rectangle 29">
          <a:extLst>
            <a:ext uri="{FF2B5EF4-FFF2-40B4-BE49-F238E27FC236}">
              <a16:creationId xmlns:a16="http://schemas.microsoft.com/office/drawing/2014/main" id="{00000000-0008-0000-0000-00000C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editAs="oneCell">
    <xdr:from>
      <xdr:col>2</xdr:col>
      <xdr:colOff>28575</xdr:colOff>
      <xdr:row>1</xdr:row>
      <xdr:rowOff>238125</xdr:rowOff>
    </xdr:from>
    <xdr:to>
      <xdr:col>18</xdr:col>
      <xdr:colOff>27765</xdr:colOff>
      <xdr:row>3</xdr:row>
      <xdr:rowOff>37904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590550" y="485775"/>
          <a:ext cx="6476190" cy="1571429"/>
        </a:xfrm>
        <a:prstGeom prst="rect">
          <a:avLst/>
        </a:prstGeom>
      </xdr:spPr>
    </xdr:pic>
    <xdr:clientData/>
  </xdr:twoCellAnchor>
  <xdr:twoCellAnchor>
    <xdr:from>
      <xdr:col>15</xdr:col>
      <xdr:colOff>0</xdr:colOff>
      <xdr:row>17</xdr:row>
      <xdr:rowOff>0</xdr:rowOff>
    </xdr:from>
    <xdr:to>
      <xdr:col>17</xdr:col>
      <xdr:colOff>0</xdr:colOff>
      <xdr:row>18</xdr:row>
      <xdr:rowOff>0</xdr:rowOff>
    </xdr:to>
    <xdr:grpSp>
      <xdr:nvGrpSpPr>
        <xdr:cNvPr id="14" name="Group 9">
          <a:extLst>
            <a:ext uri="{FF2B5EF4-FFF2-40B4-BE49-F238E27FC236}">
              <a16:creationId xmlns:a16="http://schemas.microsoft.com/office/drawing/2014/main" id="{00000000-0008-0000-0000-00000E000000}"/>
            </a:ext>
          </a:extLst>
        </xdr:cNvPr>
        <xdr:cNvGrpSpPr>
          <a:grpSpLocks/>
        </xdr:cNvGrpSpPr>
      </xdr:nvGrpSpPr>
      <xdr:grpSpPr bwMode="auto">
        <a:xfrm>
          <a:off x="5514975" y="5486400"/>
          <a:ext cx="971550" cy="247650"/>
          <a:chOff x="878" y="692"/>
          <a:chExt cx="40" cy="52"/>
        </a:xfrm>
      </xdr:grpSpPr>
      <xdr:sp macro="" textlink="">
        <xdr:nvSpPr>
          <xdr:cNvPr id="15" name="Line 10">
            <a:extLst>
              <a:ext uri="{FF2B5EF4-FFF2-40B4-BE49-F238E27FC236}">
                <a16:creationId xmlns:a16="http://schemas.microsoft.com/office/drawing/2014/main" id="{00000000-0008-0000-0000-00000F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8" name="Line 13">
            <a:extLst>
              <a:ext uri="{FF2B5EF4-FFF2-40B4-BE49-F238E27FC236}">
                <a16:creationId xmlns:a16="http://schemas.microsoft.com/office/drawing/2014/main" id="{00000000-0008-0000-0000-000012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19" name="Group 9">
          <a:extLst>
            <a:ext uri="{FF2B5EF4-FFF2-40B4-BE49-F238E27FC236}">
              <a16:creationId xmlns:a16="http://schemas.microsoft.com/office/drawing/2014/main" id="{00000000-0008-0000-0000-000013000000}"/>
            </a:ext>
          </a:extLst>
        </xdr:cNvPr>
        <xdr:cNvGrpSpPr>
          <a:grpSpLocks/>
        </xdr:cNvGrpSpPr>
      </xdr:nvGrpSpPr>
      <xdr:grpSpPr bwMode="auto">
        <a:xfrm>
          <a:off x="5514975" y="5486400"/>
          <a:ext cx="971550" cy="247650"/>
          <a:chOff x="878" y="692"/>
          <a:chExt cx="40" cy="52"/>
        </a:xfrm>
      </xdr:grpSpPr>
      <xdr:sp macro="" textlink="">
        <xdr:nvSpPr>
          <xdr:cNvPr id="20" name="Line 10">
            <a:extLst>
              <a:ext uri="{FF2B5EF4-FFF2-40B4-BE49-F238E27FC236}">
                <a16:creationId xmlns:a16="http://schemas.microsoft.com/office/drawing/2014/main" id="{00000000-0008-0000-0000-000014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 name="Line 11">
            <a:extLst>
              <a:ext uri="{FF2B5EF4-FFF2-40B4-BE49-F238E27FC236}">
                <a16:creationId xmlns:a16="http://schemas.microsoft.com/office/drawing/2014/main" id="{00000000-0008-0000-0000-000015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2" name="Line 12">
            <a:extLst>
              <a:ext uri="{FF2B5EF4-FFF2-40B4-BE49-F238E27FC236}">
                <a16:creationId xmlns:a16="http://schemas.microsoft.com/office/drawing/2014/main" id="{00000000-0008-0000-0000-000016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3" name="Line 13">
            <a:extLst>
              <a:ext uri="{FF2B5EF4-FFF2-40B4-BE49-F238E27FC236}">
                <a16:creationId xmlns:a16="http://schemas.microsoft.com/office/drawing/2014/main" id="{00000000-0008-0000-0000-000017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4" name="Group 9">
          <a:extLst>
            <a:ext uri="{FF2B5EF4-FFF2-40B4-BE49-F238E27FC236}">
              <a16:creationId xmlns:a16="http://schemas.microsoft.com/office/drawing/2014/main" id="{00000000-0008-0000-0000-000018000000}"/>
            </a:ext>
          </a:extLst>
        </xdr:cNvPr>
        <xdr:cNvGrpSpPr>
          <a:grpSpLocks/>
        </xdr:cNvGrpSpPr>
      </xdr:nvGrpSpPr>
      <xdr:grpSpPr bwMode="auto">
        <a:xfrm>
          <a:off x="5514975" y="5486400"/>
          <a:ext cx="971550" cy="247650"/>
          <a:chOff x="878" y="692"/>
          <a:chExt cx="40" cy="52"/>
        </a:xfrm>
      </xdr:grpSpPr>
      <xdr:sp macro="" textlink="">
        <xdr:nvSpPr>
          <xdr:cNvPr id="25" name="Line 10">
            <a:extLst>
              <a:ext uri="{FF2B5EF4-FFF2-40B4-BE49-F238E27FC236}">
                <a16:creationId xmlns:a16="http://schemas.microsoft.com/office/drawing/2014/main" id="{00000000-0008-0000-0000-000019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6" name="Line 11">
            <a:extLst>
              <a:ext uri="{FF2B5EF4-FFF2-40B4-BE49-F238E27FC236}">
                <a16:creationId xmlns:a16="http://schemas.microsoft.com/office/drawing/2014/main" id="{00000000-0008-0000-0000-00001A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7" name="Line 12">
            <a:extLst>
              <a:ext uri="{FF2B5EF4-FFF2-40B4-BE49-F238E27FC236}">
                <a16:creationId xmlns:a16="http://schemas.microsoft.com/office/drawing/2014/main" id="{00000000-0008-0000-0000-00001B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8" name="Line 13">
            <a:extLst>
              <a:ext uri="{FF2B5EF4-FFF2-40B4-BE49-F238E27FC236}">
                <a16:creationId xmlns:a16="http://schemas.microsoft.com/office/drawing/2014/main" id="{00000000-0008-0000-0000-00001C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9" name="Group 9">
          <a:extLst>
            <a:ext uri="{FF2B5EF4-FFF2-40B4-BE49-F238E27FC236}">
              <a16:creationId xmlns:a16="http://schemas.microsoft.com/office/drawing/2014/main" id="{00000000-0008-0000-0000-00001D000000}"/>
            </a:ext>
          </a:extLst>
        </xdr:cNvPr>
        <xdr:cNvGrpSpPr>
          <a:grpSpLocks/>
        </xdr:cNvGrpSpPr>
      </xdr:nvGrpSpPr>
      <xdr:grpSpPr bwMode="auto">
        <a:xfrm>
          <a:off x="5514975" y="5486400"/>
          <a:ext cx="971550" cy="247650"/>
          <a:chOff x="878" y="692"/>
          <a:chExt cx="40" cy="52"/>
        </a:xfrm>
      </xdr:grpSpPr>
      <xdr:sp macro="" textlink="">
        <xdr:nvSpPr>
          <xdr:cNvPr id="30" name="Line 10">
            <a:extLst>
              <a:ext uri="{FF2B5EF4-FFF2-40B4-BE49-F238E27FC236}">
                <a16:creationId xmlns:a16="http://schemas.microsoft.com/office/drawing/2014/main" id="{00000000-0008-0000-0000-00001E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1" name="Line 11">
            <a:extLst>
              <a:ext uri="{FF2B5EF4-FFF2-40B4-BE49-F238E27FC236}">
                <a16:creationId xmlns:a16="http://schemas.microsoft.com/office/drawing/2014/main" id="{00000000-0008-0000-0000-00001F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2" name="Line 12">
            <a:extLst>
              <a:ext uri="{FF2B5EF4-FFF2-40B4-BE49-F238E27FC236}">
                <a16:creationId xmlns:a16="http://schemas.microsoft.com/office/drawing/2014/main" id="{00000000-0008-0000-0000-000020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3" name="Line 13">
            <a:extLst>
              <a:ext uri="{FF2B5EF4-FFF2-40B4-BE49-F238E27FC236}">
                <a16:creationId xmlns:a16="http://schemas.microsoft.com/office/drawing/2014/main" id="{00000000-0008-0000-0000-000021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16</xdr:col>
      <xdr:colOff>523875</xdr:colOff>
      <xdr:row>21</xdr:row>
      <xdr:rowOff>238125</xdr:rowOff>
    </xdr:from>
    <xdr:to>
      <xdr:col>17</xdr:col>
      <xdr:colOff>9267</xdr:colOff>
      <xdr:row>23</xdr:row>
      <xdr:rowOff>238125</xdr:rowOff>
    </xdr:to>
    <xdr:sp macro="" textlink="">
      <xdr:nvSpPr>
        <xdr:cNvPr id="34" name="Rectangle 29">
          <a:extLst>
            <a:ext uri="{FF2B5EF4-FFF2-40B4-BE49-F238E27FC236}">
              <a16:creationId xmlns:a16="http://schemas.microsoft.com/office/drawing/2014/main" id="{00000000-0008-0000-0000-000022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xdr:from>
      <xdr:col>16</xdr:col>
      <xdr:colOff>533400</xdr:colOff>
      <xdr:row>22</xdr:row>
      <xdr:rowOff>0</xdr:rowOff>
    </xdr:from>
    <xdr:to>
      <xdr:col>17</xdr:col>
      <xdr:colOff>18792</xdr:colOff>
      <xdr:row>24</xdr:row>
      <xdr:rowOff>0</xdr:rowOff>
    </xdr:to>
    <xdr:sp macro="" textlink="">
      <xdr:nvSpPr>
        <xdr:cNvPr id="35" name="Rectangle 29">
          <a:extLst>
            <a:ext uri="{FF2B5EF4-FFF2-40B4-BE49-F238E27FC236}">
              <a16:creationId xmlns:a16="http://schemas.microsoft.com/office/drawing/2014/main" id="{00000000-0008-0000-0000-000023000000}"/>
            </a:ext>
          </a:extLst>
        </xdr:cNvPr>
        <xdr:cNvSpPr>
          <a:spLocks noChangeArrowheads="1"/>
        </xdr:cNvSpPr>
      </xdr:nvSpPr>
      <xdr:spPr bwMode="auto">
        <a:xfrm>
          <a:off x="6429375" y="6724650"/>
          <a:ext cx="75942" cy="495300"/>
        </a:xfrm>
        <a:prstGeom prst="rect">
          <a:avLst/>
        </a:prstGeom>
        <a:solidFill>
          <a:schemeClr val="accent1">
            <a:lumMod val="20000"/>
            <a:lumOff val="80000"/>
          </a:schemeClr>
        </a:solidFill>
        <a:ln w="9525">
          <a:noFill/>
          <a:miter lim="800000"/>
          <a:headEnd/>
          <a:tailEnd/>
        </a:ln>
      </xdr:spPr>
    </xdr:sp>
    <xdr:clientData/>
  </xdr:twoCellAnchor>
  <xdr:twoCellAnchor>
    <xdr:from>
      <xdr:col>16</xdr:col>
      <xdr:colOff>514608</xdr:colOff>
      <xdr:row>22</xdr:row>
      <xdr:rowOff>0</xdr:rowOff>
    </xdr:from>
    <xdr:to>
      <xdr:col>17</xdr:col>
      <xdr:colOff>0</xdr:colOff>
      <xdr:row>24</xdr:row>
      <xdr:rowOff>0</xdr:rowOff>
    </xdr:to>
    <xdr:sp macro="" textlink="">
      <xdr:nvSpPr>
        <xdr:cNvPr id="36" name="Rectangle 29">
          <a:extLst>
            <a:ext uri="{FF2B5EF4-FFF2-40B4-BE49-F238E27FC236}">
              <a16:creationId xmlns:a16="http://schemas.microsoft.com/office/drawing/2014/main" id="{00000000-0008-0000-0000-000024000000}"/>
            </a:ext>
          </a:extLst>
        </xdr:cNvPr>
        <xdr:cNvSpPr>
          <a:spLocks noChangeArrowheads="1"/>
        </xdr:cNvSpPr>
      </xdr:nvSpPr>
      <xdr:spPr bwMode="auto">
        <a:xfrm>
          <a:off x="6410583" y="6724650"/>
          <a:ext cx="75942" cy="495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12</xdr:row>
          <xdr:rowOff>28575</xdr:rowOff>
        </xdr:from>
        <xdr:to>
          <xdr:col>4</xdr:col>
          <xdr:colOff>1038225</xdr:colOff>
          <xdr:row>13</xdr:row>
          <xdr:rowOff>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12</xdr:row>
          <xdr:rowOff>19050</xdr:rowOff>
        </xdr:from>
        <xdr:to>
          <xdr:col>5</xdr:col>
          <xdr:colOff>0</xdr:colOff>
          <xdr:row>12</xdr:row>
          <xdr:rowOff>190500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1402080</xdr:colOff>
      <xdr:row>21</xdr:row>
      <xdr:rowOff>0</xdr:rowOff>
    </xdr:from>
    <xdr:to>
      <xdr:col>3</xdr:col>
      <xdr:colOff>2837</xdr:colOff>
      <xdr:row>22</xdr:row>
      <xdr:rowOff>0</xdr:rowOff>
    </xdr:to>
    <xdr:sp macro="" textlink="">
      <xdr:nvSpPr>
        <xdr:cNvPr id="6" name="Text Box 33">
          <a:extLst>
            <a:ext uri="{FF2B5EF4-FFF2-40B4-BE49-F238E27FC236}">
              <a16:creationId xmlns:a16="http://schemas.microsoft.com/office/drawing/2014/main" id="{00000000-0008-0000-0100-000006000000}"/>
            </a:ext>
          </a:extLst>
        </xdr:cNvPr>
        <xdr:cNvSpPr txBox="1">
          <a:spLocks noChangeArrowheads="1"/>
        </xdr:cNvSpPr>
      </xdr:nvSpPr>
      <xdr:spPr bwMode="auto">
        <a:xfrm>
          <a:off x="3392805" y="25812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[a]</a:t>
          </a:r>
        </a:p>
      </xdr:txBody>
    </xdr:sp>
    <xdr:clientData/>
  </xdr:twoCellAnchor>
  <xdr:twoCellAnchor editAs="oneCell">
    <xdr:from>
      <xdr:col>2</xdr:col>
      <xdr:colOff>1402080</xdr:colOff>
      <xdr:row>22</xdr:row>
      <xdr:rowOff>0</xdr:rowOff>
    </xdr:from>
    <xdr:to>
      <xdr:col>3</xdr:col>
      <xdr:colOff>2837</xdr:colOff>
      <xdr:row>23</xdr:row>
      <xdr:rowOff>0</xdr:rowOff>
    </xdr:to>
    <xdr:sp macro="" textlink="">
      <xdr:nvSpPr>
        <xdr:cNvPr id="7" name="Text Box 34">
          <a:extLst>
            <a:ext uri="{FF2B5EF4-FFF2-40B4-BE49-F238E27FC236}">
              <a16:creationId xmlns:a16="http://schemas.microsoft.com/office/drawing/2014/main" id="{00000000-0008-0000-0100-000007000000}"/>
            </a:ext>
          </a:extLst>
        </xdr:cNvPr>
        <xdr:cNvSpPr txBox="1">
          <a:spLocks noChangeArrowheads="1"/>
        </xdr:cNvSpPr>
      </xdr:nvSpPr>
      <xdr:spPr bwMode="auto">
        <a:xfrm>
          <a:off x="3392805" y="278130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[b]</a:t>
          </a:r>
        </a:p>
      </xdr:txBody>
    </xdr:sp>
    <xdr:clientData/>
  </xdr:twoCellAnchor>
  <xdr:twoCellAnchor editAs="oneCell">
    <xdr:from>
      <xdr:col>2</xdr:col>
      <xdr:colOff>1402080</xdr:colOff>
      <xdr:row>24</xdr:row>
      <xdr:rowOff>0</xdr:rowOff>
    </xdr:from>
    <xdr:to>
      <xdr:col>3</xdr:col>
      <xdr:colOff>2837</xdr:colOff>
      <xdr:row>25</xdr:row>
      <xdr:rowOff>0</xdr:rowOff>
    </xdr:to>
    <xdr:sp macro="" textlink="">
      <xdr:nvSpPr>
        <xdr:cNvPr id="8" name="Text Box 35">
          <a:extLst>
            <a:ext uri="{FF2B5EF4-FFF2-40B4-BE49-F238E27FC236}">
              <a16:creationId xmlns:a16="http://schemas.microsoft.com/office/drawing/2014/main" id="{00000000-0008-0000-0100-000008000000}"/>
            </a:ext>
          </a:extLst>
        </xdr:cNvPr>
        <xdr:cNvSpPr txBox="1">
          <a:spLocks noChangeArrowheads="1"/>
        </xdr:cNvSpPr>
      </xdr:nvSpPr>
      <xdr:spPr bwMode="auto">
        <a:xfrm>
          <a:off x="3392805" y="318135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[c]</a:t>
          </a:r>
        </a:p>
      </xdr:txBody>
    </xdr:sp>
    <xdr:clientData/>
  </xdr:twoCellAnchor>
  <xdr:twoCellAnchor editAs="oneCell">
    <xdr:from>
      <xdr:col>2</xdr:col>
      <xdr:colOff>1402080</xdr:colOff>
      <xdr:row>25</xdr:row>
      <xdr:rowOff>0</xdr:rowOff>
    </xdr:from>
    <xdr:to>
      <xdr:col>3</xdr:col>
      <xdr:colOff>2837</xdr:colOff>
      <xdr:row>26</xdr:row>
      <xdr:rowOff>0</xdr:rowOff>
    </xdr:to>
    <xdr:sp macro="" textlink="">
      <xdr:nvSpPr>
        <xdr:cNvPr id="9" name="Text Box 36">
          <a:extLst>
            <a:ext uri="{FF2B5EF4-FFF2-40B4-BE49-F238E27FC236}">
              <a16:creationId xmlns:a16="http://schemas.microsoft.com/office/drawing/2014/main" id="{00000000-0008-0000-0100-000009000000}"/>
            </a:ext>
          </a:extLst>
        </xdr:cNvPr>
        <xdr:cNvSpPr txBox="1">
          <a:spLocks noChangeArrowheads="1"/>
        </xdr:cNvSpPr>
      </xdr:nvSpPr>
      <xdr:spPr bwMode="auto">
        <a:xfrm>
          <a:off x="3392805" y="33813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[d]</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5</xdr:col>
          <xdr:colOff>0</xdr:colOff>
          <xdr:row>16</xdr:row>
          <xdr:rowOff>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12</xdr:row>
          <xdr:rowOff>28575</xdr:rowOff>
        </xdr:from>
        <xdr:to>
          <xdr:col>4</xdr:col>
          <xdr:colOff>247650</xdr:colOff>
          <xdr:row>13</xdr:row>
          <xdr:rowOff>0</xdr:rowOff>
        </xdr:to>
        <xdr:sp macro="" textlink="">
          <xdr:nvSpPr>
            <xdr:cNvPr id="10253" name="Drop Down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19050</xdr:rowOff>
        </xdr:from>
        <xdr:to>
          <xdr:col>4</xdr:col>
          <xdr:colOff>704850</xdr:colOff>
          <xdr:row>14</xdr:row>
          <xdr:rowOff>180975</xdr:rowOff>
        </xdr:to>
        <xdr:sp macro="" textlink="">
          <xdr:nvSpPr>
            <xdr:cNvPr id="10254" name="Scroll Bar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238125</xdr:colOff>
          <xdr:row>15</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solidFill>
              <a:srgbClr val="E6E6E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6</xdr:row>
          <xdr:rowOff>180975</xdr:rowOff>
        </xdr:from>
        <xdr:to>
          <xdr:col>3</xdr:col>
          <xdr:colOff>180975</xdr:colOff>
          <xdr:row>8</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solidFill>
              <a:srgbClr val="91918C">
                <a:alpha val="34000"/>
              </a:srgbClr>
            </a:solidFill>
            <a:ln>
              <a:noFill/>
            </a:ln>
            <a:extLst>
              <a:ext uri="{91240B29-F687-4F45-9708-019B960494DF}">
                <a14:hiddenLine w="12700">
                  <a:solidFill>
                    <a:srgbClr val="80808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xdr:rowOff>
        </xdr:from>
        <xdr:to>
          <xdr:col>4</xdr:col>
          <xdr:colOff>704850</xdr:colOff>
          <xdr:row>13</xdr:row>
          <xdr:rowOff>180975</xdr:rowOff>
        </xdr:to>
        <xdr:sp macro="" textlink="">
          <xdr:nvSpPr>
            <xdr:cNvPr id="10261" name="Scroll Bar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1571625</xdr:colOff>
          <xdr:row>8</xdr:row>
          <xdr:rowOff>190500</xdr:rowOff>
        </xdr:to>
        <xdr:sp macro="" textlink="">
          <xdr:nvSpPr>
            <xdr:cNvPr id="10264" name="Drop Down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19050</xdr:rowOff>
        </xdr:from>
        <xdr:to>
          <xdr:col>4</xdr:col>
          <xdr:colOff>695325</xdr:colOff>
          <xdr:row>38</xdr:row>
          <xdr:rowOff>180975</xdr:rowOff>
        </xdr:to>
        <xdr:sp macro="" textlink="">
          <xdr:nvSpPr>
            <xdr:cNvPr id="10268" name="Scroll Bar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1581150</xdr:colOff>
          <xdr:row>4</xdr:row>
          <xdr:rowOff>9525</xdr:rowOff>
        </xdr:from>
        <xdr:to>
          <xdr:col>5</xdr:col>
          <xdr:colOff>28575</xdr:colOff>
          <xdr:row>5</xdr:row>
          <xdr:rowOff>28575</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oneCellAnchor>
    <xdr:from>
      <xdr:col>0</xdr:col>
      <xdr:colOff>371898</xdr:colOff>
      <xdr:row>1</xdr:row>
      <xdr:rowOff>107279</xdr:rowOff>
    </xdr:from>
    <xdr:ext cx="155364" cy="221407"/>
    <xdr:sp macro="" textlink="">
      <xdr:nvSpPr>
        <xdr:cNvPr id="17" name="Text Box 7">
          <a:extLst>
            <a:ext uri="{FF2B5EF4-FFF2-40B4-BE49-F238E27FC236}">
              <a16:creationId xmlns:a16="http://schemas.microsoft.com/office/drawing/2014/main" id="{00000000-0008-0000-0100-000011000000}"/>
            </a:ext>
          </a:extLst>
        </xdr:cNvPr>
        <xdr:cNvSpPr txBox="1">
          <a:spLocks noChangeArrowheads="1"/>
        </xdr:cNvSpPr>
      </xdr:nvSpPr>
      <xdr:spPr bwMode="auto">
        <a:xfrm>
          <a:off x="371898" y="307304"/>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editAs="oneCell">
    <xdr:from>
      <xdr:col>6</xdr:col>
      <xdr:colOff>9525</xdr:colOff>
      <xdr:row>2</xdr:row>
      <xdr:rowOff>28575</xdr:rowOff>
    </xdr:from>
    <xdr:to>
      <xdr:col>10</xdr:col>
      <xdr:colOff>9525</xdr:colOff>
      <xdr:row>2</xdr:row>
      <xdr:rowOff>161925</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739140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en-GB" sz="700" b="0" i="0" u="none" strike="noStrike" baseline="0">
              <a:solidFill>
                <a:srgbClr val="FFFFFF"/>
              </a:solidFill>
              <a:latin typeface="Small Fonts"/>
            </a:rPr>
            <a:t>[ c o l o n nz   d e   n a v i g a t i o 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38101</xdr:colOff>
      <xdr:row>27</xdr:row>
      <xdr:rowOff>19049</xdr:rowOff>
    </xdr:from>
    <xdr:to>
      <xdr:col>17</xdr:col>
      <xdr:colOff>581025</xdr:colOff>
      <xdr:row>27</xdr:row>
      <xdr:rowOff>114300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bwMode="auto">
        <a:xfrm>
          <a:off x="4171951" y="4571999"/>
          <a:ext cx="25717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17</xdr:col>
      <xdr:colOff>57151</xdr:colOff>
      <xdr:row>26</xdr:row>
      <xdr:rowOff>47624</xdr:rowOff>
    </xdr:from>
    <xdr:to>
      <xdr:col>17</xdr:col>
      <xdr:colOff>600075</xdr:colOff>
      <xdr:row>26</xdr:row>
      <xdr:rowOff>142875</xdr:rowOff>
    </xdr:to>
    <xdr:sp macro="" textlink="">
      <xdr:nvSpPr>
        <xdr:cNvPr id="3" name="Arrow: Right 2">
          <a:extLst>
            <a:ext uri="{FF2B5EF4-FFF2-40B4-BE49-F238E27FC236}">
              <a16:creationId xmlns:a16="http://schemas.microsoft.com/office/drawing/2014/main" id="{00000000-0008-0000-0200-000003000000}"/>
            </a:ext>
          </a:extLst>
        </xdr:cNvPr>
        <xdr:cNvSpPr/>
      </xdr:nvSpPr>
      <xdr:spPr bwMode="auto">
        <a:xfrm>
          <a:off x="4191001" y="4438649"/>
          <a:ext cx="23812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Q46"/>
  <sheetViews>
    <sheetView showGridLines="0" showRowColHeaders="0" tabSelected="1" workbookViewId="0"/>
  </sheetViews>
  <sheetFormatPr defaultColWidth="5.7109375" defaultRowHeight="20.100000000000001" customHeight="1" x14ac:dyDescent="0.15"/>
  <cols>
    <col min="1" max="1" width="5.7109375" style="107" customWidth="1"/>
    <col min="2" max="2" width="2.7109375" style="107" customWidth="1"/>
    <col min="3" max="3" width="4.28515625" style="107" customWidth="1"/>
    <col min="4" max="4" width="7.140625" style="107" customWidth="1"/>
    <col min="5" max="16" width="5.7109375" style="107" customWidth="1"/>
    <col min="17" max="17" width="8.85546875" style="107" customWidth="1"/>
    <col min="18" max="18" width="8.28515625" style="107" customWidth="1"/>
    <col min="19" max="19" width="2.7109375" style="107" customWidth="1"/>
    <col min="20" max="23" width="5.7109375" style="107" customWidth="1"/>
    <col min="24" max="24" width="7.42578125" style="107" customWidth="1"/>
    <col min="25" max="27" width="5.7109375" style="107" customWidth="1"/>
    <col min="28" max="28" width="8.42578125" style="107" customWidth="1"/>
    <col min="29" max="16384" width="5.7109375" style="107"/>
  </cols>
  <sheetData>
    <row r="1" spans="1:43" ht="20.10000000000000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43" ht="20.100000000000001" customHeight="1" x14ac:dyDescent="0.15">
      <c r="A2" s="106"/>
      <c r="B2"/>
      <c r="C2"/>
      <c r="D2"/>
      <c r="E2"/>
      <c r="F2"/>
      <c r="G2"/>
      <c r="H2"/>
      <c r="I2"/>
      <c r="J2"/>
      <c r="K2"/>
      <c r="L2"/>
      <c r="M2"/>
      <c r="N2"/>
      <c r="O2"/>
      <c r="P2"/>
      <c r="Q2"/>
      <c r="R2"/>
      <c r="S2"/>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ht="120" customHeight="1" x14ac:dyDescent="0.15">
      <c r="A3" s="106"/>
      <c r="B3"/>
      <c r="C3"/>
      <c r="D3"/>
      <c r="E3"/>
      <c r="F3"/>
      <c r="G3"/>
      <c r="H3"/>
      <c r="I3"/>
      <c r="J3"/>
      <c r="K3"/>
      <c r="L3"/>
      <c r="M3"/>
      <c r="N3"/>
      <c r="O3"/>
      <c r="P3"/>
      <c r="Q3"/>
      <c r="R3"/>
      <c r="S3"/>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43" ht="20.100000000000001" customHeight="1" x14ac:dyDescent="0.15">
      <c r="A4" s="106"/>
      <c r="B4"/>
      <c r="C4" s="108" t="s">
        <v>97</v>
      </c>
      <c r="D4"/>
      <c r="E4"/>
      <c r="F4"/>
      <c r="G4"/>
      <c r="H4"/>
      <c r="I4"/>
      <c r="J4"/>
      <c r="K4"/>
      <c r="L4"/>
      <c r="M4" s="109"/>
      <c r="N4" s="109"/>
      <c r="O4" s="109"/>
      <c r="P4" s="109"/>
      <c r="Q4"/>
      <c r="R4" s="110"/>
      <c r="S4"/>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row>
    <row r="5" spans="1:43" ht="20.100000000000001" customHeight="1" x14ac:dyDescent="0.15">
      <c r="A5" s="106"/>
      <c r="B5"/>
      <c r="C5"/>
      <c r="D5"/>
      <c r="E5"/>
      <c r="F5"/>
      <c r="G5"/>
      <c r="H5"/>
      <c r="I5"/>
      <c r="J5"/>
      <c r="K5"/>
      <c r="L5"/>
      <c r="M5"/>
      <c r="N5"/>
      <c r="O5"/>
      <c r="P5"/>
      <c r="Q5"/>
      <c r="R5"/>
      <c r="S5"/>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row>
    <row r="6" spans="1:43" ht="20.100000000000001" customHeight="1" x14ac:dyDescent="0.15">
      <c r="A6" s="106"/>
      <c r="B6"/>
      <c r="C6" s="111"/>
      <c r="D6" s="116" t="s">
        <v>94</v>
      </c>
      <c r="E6" s="117"/>
      <c r="F6" s="117"/>
      <c r="G6" s="117"/>
      <c r="H6" s="117"/>
      <c r="I6" s="117"/>
      <c r="J6" s="117"/>
      <c r="K6" s="117"/>
      <c r="L6" s="117"/>
      <c r="M6" s="117"/>
      <c r="N6" s="117"/>
      <c r="O6" s="117"/>
      <c r="P6" s="117"/>
      <c r="Q6" s="117"/>
      <c r="R6" s="117"/>
      <c r="S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row>
    <row r="7" spans="1:43" ht="20.100000000000001" customHeight="1" x14ac:dyDescent="0.15">
      <c r="A7" s="106"/>
      <c r="B7"/>
      <c r="C7"/>
      <c r="D7"/>
      <c r="E7"/>
      <c r="F7"/>
      <c r="G7"/>
      <c r="H7"/>
      <c r="I7"/>
      <c r="J7"/>
      <c r="K7"/>
      <c r="L7"/>
      <c r="M7"/>
      <c r="N7"/>
      <c r="O7"/>
      <c r="P7"/>
      <c r="Q7"/>
      <c r="R7"/>
      <c r="S7"/>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row>
    <row r="8" spans="1:43" ht="20.100000000000001" customHeight="1" x14ac:dyDescent="0.15">
      <c r="A8" s="106"/>
      <c r="B8"/>
      <c r="C8"/>
      <c r="D8"/>
      <c r="E8"/>
      <c r="F8"/>
      <c r="G8"/>
      <c r="H8"/>
      <c r="I8"/>
      <c r="J8"/>
      <c r="K8"/>
      <c r="L8"/>
      <c r="M8"/>
      <c r="N8"/>
      <c r="O8"/>
      <c r="P8"/>
      <c r="Q8"/>
      <c r="R8"/>
      <c r="S8"/>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row>
    <row r="9" spans="1:43" ht="20.100000000000001" customHeight="1" x14ac:dyDescent="0.15">
      <c r="A9" s="106"/>
      <c r="B9"/>
      <c r="C9"/>
      <c r="D9"/>
      <c r="E9"/>
      <c r="F9"/>
      <c r="G9"/>
      <c r="H9"/>
      <c r="I9"/>
      <c r="J9"/>
      <c r="K9"/>
      <c r="L9"/>
      <c r="M9"/>
      <c r="N9"/>
      <c r="O9"/>
      <c r="P9"/>
      <c r="Q9"/>
      <c r="R9"/>
      <c r="S9"/>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row>
    <row r="10" spans="1:43" ht="20.100000000000001" customHeight="1" x14ac:dyDescent="0.15">
      <c r="A10" s="106"/>
      <c r="B10"/>
      <c r="C10"/>
      <c r="D10"/>
      <c r="E10"/>
      <c r="F10"/>
      <c r="G10"/>
      <c r="H10"/>
      <c r="I10"/>
      <c r="J10"/>
      <c r="K10"/>
      <c r="L10"/>
      <c r="M10"/>
      <c r="N10"/>
      <c r="O10"/>
      <c r="P10"/>
      <c r="Q10"/>
      <c r="R10"/>
      <c r="S10"/>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row>
    <row r="11" spans="1:43" ht="20.100000000000001" customHeight="1" x14ac:dyDescent="0.15">
      <c r="A11" s="106"/>
      <c r="B11"/>
      <c r="C11"/>
      <c r="D11"/>
      <c r="E11"/>
      <c r="F11"/>
      <c r="G11"/>
      <c r="H11"/>
      <c r="I11"/>
      <c r="J11"/>
      <c r="K11"/>
      <c r="L11"/>
      <c r="M11"/>
      <c r="N11"/>
      <c r="O11"/>
      <c r="P11"/>
      <c r="Q11"/>
      <c r="R11"/>
      <c r="S11"/>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row>
    <row r="12" spans="1:43" ht="20.100000000000001" customHeight="1" x14ac:dyDescent="0.15">
      <c r="A12" s="106"/>
      <c r="B12"/>
      <c r="C12"/>
      <c r="D12"/>
      <c r="E12"/>
      <c r="F12"/>
      <c r="G12"/>
      <c r="H12"/>
      <c r="I12"/>
      <c r="J12"/>
      <c r="K12"/>
      <c r="L12"/>
      <c r="M12"/>
      <c r="N12"/>
      <c r="O12"/>
      <c r="P12"/>
      <c r="Q12"/>
      <c r="R12"/>
      <c r="S12"/>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row>
    <row r="13" spans="1:43" ht="20.100000000000001" customHeight="1" x14ac:dyDescent="0.15">
      <c r="A13" s="106"/>
      <c r="B13"/>
      <c r="C13"/>
      <c r="D13"/>
      <c r="E13"/>
      <c r="F13"/>
      <c r="G13"/>
      <c r="H13"/>
      <c r="I13"/>
      <c r="J13"/>
      <c r="K13"/>
      <c r="L13"/>
      <c r="M13"/>
      <c r="N13"/>
      <c r="O13"/>
      <c r="P13"/>
      <c r="Q13"/>
      <c r="R13"/>
      <c r="S13"/>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row>
    <row r="14" spans="1:43" ht="20.100000000000001" customHeight="1" x14ac:dyDescent="0.15">
      <c r="A14" s="106"/>
      <c r="B14"/>
      <c r="C14" s="112"/>
      <c r="D14" s="113" t="s">
        <v>91</v>
      </c>
      <c r="E14"/>
      <c r="F14"/>
      <c r="G14"/>
      <c r="H14"/>
      <c r="I14"/>
      <c r="J14"/>
      <c r="K14"/>
      <c r="L14"/>
      <c r="M14"/>
      <c r="N14"/>
      <c r="O14"/>
      <c r="P14"/>
      <c r="Q14"/>
      <c r="R14"/>
      <c r="S14"/>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row>
    <row r="15" spans="1:43" ht="20.100000000000001" customHeight="1" x14ac:dyDescent="0.15">
      <c r="A15" s="106"/>
      <c r="B15"/>
      <c r="C15" s="114"/>
      <c r="D15"/>
      <c r="E15"/>
      <c r="F15"/>
      <c r="G15"/>
      <c r="H15"/>
      <c r="I15"/>
      <c r="J15"/>
      <c r="K15"/>
      <c r="L15"/>
      <c r="M15"/>
      <c r="N15"/>
      <c r="O15"/>
      <c r="P15"/>
      <c r="Q15"/>
      <c r="R15"/>
      <c r="S15"/>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row>
    <row r="16" spans="1:43" ht="20.100000000000001" customHeight="1" x14ac:dyDescent="0.15">
      <c r="A16" s="106"/>
      <c r="B16"/>
      <c r="C16"/>
      <c r="D16"/>
      <c r="E16"/>
      <c r="F16"/>
      <c r="G16"/>
      <c r="H16"/>
      <c r="I16"/>
      <c r="J16"/>
      <c r="K16"/>
      <c r="L16"/>
      <c r="M16"/>
      <c r="N16"/>
      <c r="O16"/>
      <c r="P16"/>
      <c r="Q16"/>
      <c r="R16"/>
      <c r="S1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row>
    <row r="17" spans="1:43" ht="20.100000000000001" customHeight="1" x14ac:dyDescent="0.15">
      <c r="A17" s="106"/>
      <c r="B17"/>
      <c r="C17"/>
      <c r="D17"/>
      <c r="E17"/>
      <c r="F17"/>
      <c r="G17"/>
      <c r="H17"/>
      <c r="I17"/>
      <c r="J17"/>
      <c r="K17"/>
      <c r="L17"/>
      <c r="M17"/>
      <c r="N17"/>
      <c r="O17"/>
      <c r="P17"/>
      <c r="Q17"/>
      <c r="R17"/>
      <c r="S17"/>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row>
    <row r="18" spans="1:43" ht="20.100000000000001" customHeight="1" x14ac:dyDescent="0.15">
      <c r="A18" s="106"/>
      <c r="B18"/>
      <c r="C18"/>
      <c r="D18"/>
      <c r="E18"/>
      <c r="F18"/>
      <c r="G18"/>
      <c r="H18"/>
      <c r="I18"/>
      <c r="J18"/>
      <c r="K18"/>
      <c r="L18"/>
      <c r="M18"/>
      <c r="N18"/>
      <c r="O18"/>
      <c r="P18" s="118" t="s">
        <v>92</v>
      </c>
      <c r="Q18" s="118"/>
      <c r="R18"/>
      <c r="S18"/>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row>
    <row r="19" spans="1:43" ht="20.100000000000001" customHeight="1" x14ac:dyDescent="0.15">
      <c r="A19" s="106"/>
      <c r="B19"/>
      <c r="C19"/>
      <c r="D19"/>
      <c r="E19"/>
      <c r="F19"/>
      <c r="G19"/>
      <c r="H19"/>
      <c r="I19"/>
      <c r="J19"/>
      <c r="K19"/>
      <c r="L19"/>
      <c r="M19"/>
      <c r="N19"/>
      <c r="O19"/>
      <c r="P19"/>
      <c r="Q19"/>
      <c r="R19"/>
      <c r="S19"/>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row>
    <row r="20" spans="1:43" ht="20.100000000000001" customHeight="1" x14ac:dyDescent="0.15">
      <c r="A20" s="106"/>
      <c r="B20"/>
      <c r="C20"/>
      <c r="D20"/>
      <c r="E20"/>
      <c r="F20"/>
      <c r="G20"/>
      <c r="H20"/>
      <c r="I20"/>
      <c r="J20"/>
      <c r="K20"/>
      <c r="L20"/>
      <c r="M20"/>
      <c r="N20"/>
      <c r="O20"/>
      <c r="P20"/>
      <c r="Q20"/>
      <c r="R20"/>
      <c r="S20"/>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row>
    <row r="21" spans="1:43" ht="20.100000000000001" customHeight="1" x14ac:dyDescent="0.15">
      <c r="A21" s="106"/>
      <c r="B21"/>
      <c r="C21"/>
      <c r="D21"/>
      <c r="E21"/>
      <c r="F21"/>
      <c r="G21"/>
      <c r="H21"/>
      <c r="I21"/>
      <c r="J21"/>
      <c r="K21"/>
      <c r="L21"/>
      <c r="M21"/>
      <c r="N21"/>
      <c r="O21"/>
      <c r="P21"/>
      <c r="Q21"/>
      <c r="R21"/>
      <c r="S21"/>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row>
    <row r="22" spans="1:43" ht="20.100000000000001" customHeight="1" x14ac:dyDescent="0.15">
      <c r="A22" s="106"/>
      <c r="B22"/>
      <c r="C22" s="92"/>
      <c r="D22" s="92"/>
      <c r="E22" s="92"/>
      <c r="F22" s="92"/>
      <c r="G22" s="92"/>
      <c r="H22" s="92"/>
      <c r="I22" s="92"/>
      <c r="J22" s="92"/>
      <c r="K22" s="92"/>
      <c r="L22" s="92"/>
      <c r="M22" s="92"/>
      <c r="N22" s="92"/>
      <c r="O22" s="92"/>
      <c r="P22" s="92"/>
      <c r="Q22" s="92"/>
      <c r="R22" s="92"/>
      <c r="S22"/>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row>
    <row r="23" spans="1:43" ht="20.100000000000001" customHeight="1" x14ac:dyDescent="0.15">
      <c r="A23" s="106"/>
      <c r="B23"/>
      <c r="C23" s="119" t="s">
        <v>93</v>
      </c>
      <c r="D23" s="119"/>
      <c r="E23" s="119"/>
      <c r="F23" s="119"/>
      <c r="G23" s="119"/>
      <c r="H23" s="119"/>
      <c r="I23" s="119"/>
      <c r="J23" s="119"/>
      <c r="K23" s="119"/>
      <c r="L23" s="119"/>
      <c r="M23" s="119"/>
      <c r="N23" s="119"/>
      <c r="O23" s="119"/>
      <c r="P23" s="120" t="s">
        <v>13</v>
      </c>
      <c r="Q23" s="121"/>
      <c r="R23" s="115"/>
      <c r="S23"/>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row>
    <row r="24" spans="1:43" ht="20.100000000000001" customHeight="1" x14ac:dyDescent="0.15">
      <c r="A24" s="106"/>
      <c r="B24"/>
      <c r="C24" s="119"/>
      <c r="D24" s="119"/>
      <c r="E24" s="119"/>
      <c r="F24" s="119"/>
      <c r="G24" s="119"/>
      <c r="H24" s="119"/>
      <c r="I24" s="119"/>
      <c r="J24" s="119"/>
      <c r="K24" s="119"/>
      <c r="L24" s="119"/>
      <c r="M24" s="119"/>
      <c r="N24" s="119"/>
      <c r="O24" s="119"/>
      <c r="P24" s="120" t="s">
        <v>14</v>
      </c>
      <c r="Q24" s="121"/>
      <c r="R24" s="115"/>
      <c r="S24"/>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row>
    <row r="25" spans="1:43" ht="20.100000000000001" customHeight="1" x14ac:dyDescent="0.15">
      <c r="A25" s="106"/>
      <c r="B25"/>
      <c r="C25"/>
      <c r="D25"/>
      <c r="E25"/>
      <c r="F25"/>
      <c r="G25"/>
      <c r="H25"/>
      <c r="I25"/>
      <c r="J25"/>
      <c r="K25"/>
      <c r="L25"/>
      <c r="M25"/>
      <c r="N25"/>
      <c r="O25"/>
      <c r="P25"/>
      <c r="Q25" s="1"/>
      <c r="R25" s="1"/>
      <c r="S25"/>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row>
    <row r="26" spans="1:43" ht="20.100000000000001" customHeigh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row>
    <row r="27" spans="1:43" ht="20.100000000000001" customHeigh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row>
    <row r="28" spans="1:43" ht="20.100000000000001" customHeigh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row>
    <row r="29" spans="1:43" ht="20.100000000000001" customHeigh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row>
    <row r="30" spans="1:43" ht="20.100000000000001" customHeigh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row>
    <row r="31" spans="1:43" ht="20.100000000000001" customHeigh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row>
    <row r="32" spans="1:43" ht="20.100000000000001" customHeight="1" x14ac:dyDescent="0.1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row>
    <row r="33" spans="1:43" ht="20.100000000000001" customHeight="1" x14ac:dyDescent="0.1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row>
    <row r="34" spans="1:43" ht="20.100000000000001" customHeight="1" x14ac:dyDescent="0.1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row>
    <row r="35" spans="1:43" ht="20.100000000000001" customHeight="1" x14ac:dyDescent="0.1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row>
    <row r="36" spans="1:43" ht="20.100000000000001" customHeight="1" x14ac:dyDescent="0.1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row>
    <row r="37" spans="1:43" ht="20.100000000000001" customHeight="1" x14ac:dyDescent="0.1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row>
    <row r="38" spans="1:43" ht="20.100000000000001"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row>
    <row r="39" spans="1:43" ht="20.100000000000001" customHeight="1" x14ac:dyDescent="0.1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row>
    <row r="40" spans="1:43" ht="20.100000000000001" customHeight="1" x14ac:dyDescent="0.1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row>
    <row r="41" spans="1:43" ht="20.100000000000001" customHeight="1" x14ac:dyDescent="0.1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row>
    <row r="42" spans="1:43" ht="20.100000000000001" customHeight="1" x14ac:dyDescent="0.1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row>
    <row r="43" spans="1:43" ht="20.100000000000001" customHeight="1" x14ac:dyDescent="0.1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row>
    <row r="44" spans="1:43" ht="20.100000000000001" customHeight="1" x14ac:dyDescent="0.1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row>
    <row r="45" spans="1:43" ht="20.100000000000001" customHeight="1" x14ac:dyDescent="0.1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row>
    <row r="46" spans="1:43" ht="20.100000000000001" customHeight="1"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row>
  </sheetData>
  <sheetProtection algorithmName="SHA-512" hashValue="27ELz7O0P16ZUrHUaJf/XxfZ9xcWMem5s+Ah5L57VXuFmrxlsl4YEwS1JyaTMQCud7NSBeHGyW5pzWYBv7oACg==" saltValue="RxspyPXjmGaJc7SMTA64/g==" spinCount="100000" sheet="1" objects="1" scenarios="1"/>
  <mergeCells count="5">
    <mergeCell ref="D6:R6"/>
    <mergeCell ref="P18:Q18"/>
    <mergeCell ref="C23:O24"/>
    <mergeCell ref="P23:Q23"/>
    <mergeCell ref="P24:Q24"/>
  </mergeCells>
  <hyperlinks>
    <hyperlink ref="P18:Q18" location="'1'!A1" tooltip="Calculez-le!" display="} cliquez ici"/>
  </hyperlinks>
  <pageMargins left="0.75" right="0.75" top="1" bottom="1" header="0.5" footer="0.5"/>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fitToPage="1"/>
  </sheetPr>
  <dimension ref="A1:R52"/>
  <sheetViews>
    <sheetView showGridLines="0" showRowColHeaders="0" zoomScaleNormal="100" workbookViewId="0">
      <selection activeCell="G2" sqref="G2"/>
    </sheetView>
  </sheetViews>
  <sheetFormatPr defaultColWidth="9.140625" defaultRowHeight="15.95" customHeight="1" x14ac:dyDescent="0.15"/>
  <cols>
    <col min="1" max="1" width="5.7109375" style="10" customWidth="1"/>
    <col min="2" max="2" width="25.85546875" style="10" customWidth="1"/>
    <col min="3" max="3" width="25.140625" style="10" customWidth="1"/>
    <col min="4" max="5" width="24.140625" style="10" customWidth="1"/>
    <col min="6" max="6" width="5.7109375" style="10" customWidth="1"/>
    <col min="7" max="41" width="5.7109375" style="11" customWidth="1"/>
    <col min="42" max="16384" width="9.140625" style="11"/>
  </cols>
  <sheetData>
    <row r="1" spans="2:18" ht="15.95" customHeight="1" thickBot="1" x14ac:dyDescent="0.2"/>
    <row r="2" spans="2:18" ht="30" customHeight="1" thickBot="1" x14ac:dyDescent="0.2">
      <c r="B2" s="103" t="s">
        <v>95</v>
      </c>
      <c r="C2" s="102"/>
      <c r="D2" s="102"/>
      <c r="E2" s="102"/>
      <c r="G2" s="2" t="s">
        <v>0</v>
      </c>
      <c r="H2" s="3" t="s">
        <v>1</v>
      </c>
      <c r="I2" s="4" t="s">
        <v>2</v>
      </c>
      <c r="J2" s="4" t="s">
        <v>3</v>
      </c>
    </row>
    <row r="3" spans="2:18" ht="15.95" customHeight="1" x14ac:dyDescent="0.15">
      <c r="E3" s="93"/>
      <c r="G3" s="8"/>
      <c r="H3" s="8"/>
      <c r="I3" s="8"/>
      <c r="J3" s="8"/>
    </row>
    <row r="4" spans="2:18" ht="30" customHeight="1" x14ac:dyDescent="0.15">
      <c r="B4" s="5" t="s">
        <v>88</v>
      </c>
      <c r="C4" s="5"/>
      <c r="D4" s="6"/>
      <c r="G4" s="20"/>
      <c r="H4" s="20"/>
      <c r="I4" s="20"/>
      <c r="J4" s="20"/>
      <c r="K4" s="15"/>
      <c r="L4" s="15"/>
      <c r="M4" s="15"/>
      <c r="N4" s="15"/>
      <c r="O4" s="15"/>
      <c r="P4" s="10"/>
      <c r="Q4" s="10"/>
      <c r="R4" s="10"/>
    </row>
    <row r="5" spans="2:18" ht="15.95" hidden="1" customHeight="1" x14ac:dyDescent="0.15">
      <c r="B5" s="12" t="s">
        <v>73</v>
      </c>
      <c r="C5" s="5"/>
      <c r="D5" s="6"/>
      <c r="G5" s="20"/>
      <c r="H5" s="20"/>
      <c r="I5" s="20"/>
      <c r="J5" s="20"/>
      <c r="K5" s="15"/>
      <c r="L5" s="15"/>
      <c r="M5" s="15"/>
      <c r="N5" s="15"/>
      <c r="O5" s="15"/>
      <c r="P5" s="10"/>
      <c r="Q5" s="10"/>
      <c r="R5" s="10"/>
    </row>
    <row r="6" spans="2:18" ht="15.95" hidden="1" customHeight="1" x14ac:dyDescent="0.15">
      <c r="B6" s="5"/>
      <c r="C6" s="5"/>
      <c r="D6" s="6"/>
      <c r="G6" s="20"/>
      <c r="H6" s="20"/>
      <c r="I6" s="20"/>
      <c r="J6" s="20"/>
      <c r="K6" s="15"/>
      <c r="L6" s="15"/>
      <c r="M6" s="15"/>
      <c r="N6" s="15"/>
      <c r="O6" s="15"/>
      <c r="P6" s="10"/>
      <c r="Q6" s="10"/>
      <c r="R6" s="10"/>
    </row>
    <row r="7" spans="2:18" ht="15.95" customHeight="1" x14ac:dyDescent="0.15">
      <c r="B7" s="12" t="s">
        <v>87</v>
      </c>
      <c r="C7" s="5"/>
      <c r="D7" s="6"/>
      <c r="E7" s="94"/>
      <c r="G7" s="20"/>
      <c r="H7" s="20"/>
      <c r="I7" s="20"/>
      <c r="J7" s="20"/>
      <c r="K7" s="15"/>
      <c r="L7" s="15"/>
      <c r="M7" s="15"/>
      <c r="N7" s="15"/>
      <c r="O7" s="15"/>
      <c r="P7" s="10"/>
      <c r="Q7" s="10"/>
      <c r="R7" s="10"/>
    </row>
    <row r="8" spans="2:18" ht="15.95" customHeight="1" x14ac:dyDescent="0.15">
      <c r="B8" s="12" t="s">
        <v>74</v>
      </c>
      <c r="C8" s="12"/>
      <c r="D8" s="104" t="str">
        <f>IF('1'!$E$8=calc!$M$6,"","Faux hybride")</f>
        <v>Faux hybride</v>
      </c>
      <c r="E8" s="95" t="s">
        <v>69</v>
      </c>
      <c r="G8" s="51" t="s">
        <v>1</v>
      </c>
      <c r="H8" s="43" t="b">
        <v>0</v>
      </c>
      <c r="I8" s="21"/>
      <c r="J8" s="21"/>
      <c r="K8" s="15"/>
      <c r="L8" s="15"/>
      <c r="M8" s="15"/>
      <c r="N8" s="15"/>
      <c r="O8" s="15"/>
      <c r="Q8" s="10"/>
      <c r="R8" s="10"/>
    </row>
    <row r="9" spans="2:18" ht="15.95" customHeight="1" x14ac:dyDescent="0.15">
      <c r="B9" s="12" t="s">
        <v>68</v>
      </c>
      <c r="C9" s="12"/>
      <c r="D9" s="12"/>
      <c r="E9" s="96"/>
      <c r="G9" s="21"/>
      <c r="H9" s="43"/>
      <c r="I9" s="21"/>
      <c r="J9" s="21"/>
      <c r="K9" s="15"/>
      <c r="L9" s="15"/>
      <c r="M9" s="15"/>
      <c r="N9" s="15"/>
      <c r="O9" s="15"/>
      <c r="Q9" s="10"/>
      <c r="R9" s="10"/>
    </row>
    <row r="10" spans="2:18" ht="15.95" customHeight="1" x14ac:dyDescent="0.15">
      <c r="B10" s="12" t="s">
        <v>75</v>
      </c>
      <c r="C10" s="12"/>
      <c r="D10" s="100" t="str">
        <f>IF($E$8=calc!$M$6,"pas d'émissions de CO2","")</f>
        <v/>
      </c>
      <c r="E10" s="94">
        <v>0</v>
      </c>
      <c r="G10" s="21"/>
      <c r="H10" s="21"/>
      <c r="I10" s="21"/>
      <c r="J10" s="21"/>
      <c r="K10" s="15"/>
      <c r="L10" s="15"/>
      <c r="M10" s="15"/>
      <c r="N10" s="15"/>
      <c r="O10" s="15"/>
      <c r="Q10" s="10"/>
      <c r="R10" s="10"/>
    </row>
    <row r="11" spans="2:18" ht="15.95" customHeight="1" x14ac:dyDescent="0.15">
      <c r="B11" s="12" t="s">
        <v>67</v>
      </c>
      <c r="C11" s="12"/>
      <c r="D11" s="12"/>
      <c r="E11" s="94">
        <v>0</v>
      </c>
      <c r="G11" s="21"/>
      <c r="H11" s="21"/>
      <c r="I11" s="21"/>
      <c r="J11" s="21"/>
      <c r="K11" s="15"/>
      <c r="L11" s="15"/>
      <c r="M11" s="15"/>
      <c r="N11" s="15"/>
      <c r="O11" s="15"/>
      <c r="Q11" s="10"/>
      <c r="R11" s="10"/>
    </row>
    <row r="12" spans="2:18" ht="15.95" customHeight="1" x14ac:dyDescent="0.15">
      <c r="B12" s="12" t="s">
        <v>76</v>
      </c>
      <c r="C12" s="12"/>
      <c r="D12" s="12"/>
      <c r="E12" s="97">
        <v>0</v>
      </c>
      <c r="G12" s="25" t="s">
        <v>1</v>
      </c>
      <c r="H12" s="21"/>
      <c r="I12" s="21"/>
      <c r="J12" s="21"/>
      <c r="K12" s="15"/>
      <c r="L12" s="15"/>
      <c r="M12" s="15"/>
      <c r="N12" s="15"/>
      <c r="O12" s="15"/>
      <c r="Q12" s="10"/>
      <c r="R12" s="10"/>
    </row>
    <row r="13" spans="2:18" ht="15.95" customHeight="1" x14ac:dyDescent="0.15">
      <c r="B13" s="12" t="s">
        <v>77</v>
      </c>
      <c r="C13" s="12"/>
      <c r="D13" s="12"/>
      <c r="E13" s="26"/>
      <c r="G13" s="21" t="b">
        <f>IF(calc!D33=calc!$L$32,TRUE,FALSE)</f>
        <v>1</v>
      </c>
      <c r="H13" s="21">
        <f>MAX(0,calc!$L$32-calc!$D$33-1)</f>
        <v>0</v>
      </c>
      <c r="I13" s="33">
        <f>G13*(12-J13)</f>
        <v>12</v>
      </c>
      <c r="J13" s="21">
        <f>+calc!D10</f>
        <v>0</v>
      </c>
      <c r="K13" s="15"/>
      <c r="L13" s="15"/>
      <c r="M13" s="15"/>
      <c r="N13" s="15"/>
      <c r="O13" s="15"/>
      <c r="P13" s="10"/>
      <c r="Q13" s="10"/>
      <c r="R13" s="10"/>
    </row>
    <row r="14" spans="2:18" ht="15.95" customHeight="1" x14ac:dyDescent="0.15">
      <c r="B14" s="12" t="s">
        <v>78</v>
      </c>
      <c r="C14" s="12"/>
      <c r="D14" s="12"/>
      <c r="E14" s="98">
        <f>MIN(calc!$K$45,calc!$C$3+calc!$B$2)</f>
        <v>44197</v>
      </c>
      <c r="G14" s="21" t="b">
        <f>IF(YEAR(E14)=calc!$L$32,TRUE,FALSE)</f>
        <v>1</v>
      </c>
      <c r="H14" s="21"/>
      <c r="I14" s="33"/>
      <c r="J14" s="21"/>
      <c r="K14" s="15"/>
      <c r="L14" s="15"/>
      <c r="M14" s="15"/>
      <c r="N14" s="15"/>
      <c r="O14" s="15"/>
      <c r="P14" s="10"/>
      <c r="Q14" s="10"/>
      <c r="R14" s="10"/>
    </row>
    <row r="15" spans="2:18" ht="15.95" customHeight="1" x14ac:dyDescent="0.15">
      <c r="B15" s="66" t="str">
        <f>"Voiture de société livrée en "&amp;calc!L32</f>
        <v>Voiture de société livrée en 2021</v>
      </c>
      <c r="C15" s="12"/>
      <c r="D15" s="12" t="str">
        <f>IF($G$15=TRUE,"Date réception en "&amp;calc!$L$32&amp;":","")</f>
        <v/>
      </c>
      <c r="E15" s="98">
        <f>IF(G14=TRUE,MAX(calc!$K$44,MIN(calc!$K$45,calc!$C$4+calc!$D$3)),calc!$K$44-1+calc!$D$3)</f>
        <v>44198</v>
      </c>
      <c r="G15" s="43" t="b">
        <v>0</v>
      </c>
      <c r="H15" s="21"/>
      <c r="I15" s="33"/>
      <c r="J15" s="21"/>
      <c r="K15" s="15"/>
      <c r="L15" s="15"/>
      <c r="M15" s="15"/>
      <c r="N15" s="15"/>
      <c r="O15" s="15"/>
      <c r="P15" s="10"/>
      <c r="Q15" s="10"/>
      <c r="R15" s="10"/>
    </row>
    <row r="16" spans="2:18" ht="15.95" customHeight="1" x14ac:dyDescent="0.15">
      <c r="B16" s="12" t="s">
        <v>66</v>
      </c>
      <c r="C16" s="12"/>
      <c r="D16" s="12"/>
      <c r="E16" s="99"/>
      <c r="G16" s="16"/>
      <c r="H16" s="21"/>
      <c r="I16" s="21"/>
      <c r="J16" s="21"/>
      <c r="K16" s="15"/>
      <c r="L16" s="15"/>
      <c r="M16" s="15"/>
      <c r="N16" s="15"/>
      <c r="O16" s="15"/>
      <c r="P16" s="10"/>
      <c r="Q16" s="10"/>
      <c r="R16" s="10"/>
    </row>
    <row r="17" spans="2:18" ht="15.95" customHeight="1" x14ac:dyDescent="0.15">
      <c r="B17" s="12"/>
      <c r="C17" s="12"/>
      <c r="D17" s="12"/>
      <c r="E17" s="12"/>
      <c r="G17" s="16"/>
      <c r="H17" s="21"/>
      <c r="I17" s="21"/>
      <c r="J17" s="21"/>
      <c r="K17" s="15"/>
      <c r="L17" s="15"/>
      <c r="M17" s="15"/>
      <c r="N17" s="15"/>
      <c r="O17" s="15"/>
      <c r="P17" s="10"/>
      <c r="Q17" s="10"/>
      <c r="R17" s="10"/>
    </row>
    <row r="18" spans="2:18" ht="15.95" customHeight="1" x14ac:dyDescent="0.15">
      <c r="B18" s="12" t="str">
        <f>"Cotisation personnelle pour usage privé en "&amp;calc!L32&amp;" :"</f>
        <v>Cotisation personnelle pour usage privé en 2021 :</v>
      </c>
      <c r="C18" s="12"/>
      <c r="D18" s="12"/>
      <c r="E18" s="101">
        <v>0</v>
      </c>
      <c r="G18" s="16"/>
      <c r="H18" s="21"/>
      <c r="I18" s="21"/>
      <c r="J18" s="21"/>
      <c r="K18" s="15"/>
      <c r="L18" s="15"/>
      <c r="M18" s="15"/>
      <c r="N18" s="15"/>
      <c r="O18" s="15"/>
      <c r="P18" s="10"/>
      <c r="Q18" s="10"/>
      <c r="R18" s="10"/>
    </row>
    <row r="19" spans="2:18" ht="15.95" customHeight="1" x14ac:dyDescent="0.15">
      <c r="B19" s="12"/>
      <c r="C19" s="12"/>
      <c r="D19" s="12"/>
      <c r="E19" s="12"/>
      <c r="G19" s="16"/>
      <c r="H19" s="21"/>
      <c r="I19" s="21"/>
      <c r="J19" s="21"/>
      <c r="K19" s="15"/>
      <c r="L19" s="15"/>
      <c r="M19" s="15"/>
      <c r="N19" s="15"/>
      <c r="O19" s="15"/>
      <c r="P19" s="10"/>
      <c r="Q19" s="10"/>
      <c r="R19" s="10"/>
    </row>
    <row r="20" spans="2:18" ht="15.95" customHeight="1" x14ac:dyDescent="0.15">
      <c r="B20" s="12"/>
      <c r="C20" s="12"/>
      <c r="D20" s="12"/>
      <c r="E20" s="12"/>
      <c r="G20" s="16"/>
      <c r="H20" s="21"/>
      <c r="I20" s="21"/>
      <c r="J20" s="21"/>
      <c r="K20" s="15"/>
      <c r="L20" s="15"/>
      <c r="M20" s="15"/>
      <c r="N20" s="15"/>
      <c r="O20" s="15"/>
      <c r="P20" s="10"/>
      <c r="Q20" s="10"/>
      <c r="R20" s="10"/>
    </row>
    <row r="21" spans="2:18" ht="21.95" customHeight="1" x14ac:dyDescent="0.15">
      <c r="B21" s="5" t="s">
        <v>96</v>
      </c>
      <c r="C21" s="5"/>
      <c r="D21" s="17" t="str">
        <f>IF(AND(J13=0,G13=FALSE),"",IF(G13=TRUE,"Pour "&amp;calc!$D$6&amp;" jour(s)",IF(MIN(calc!D5,calc!B6)=0,"",IF(MIN(calc!D5,calc!B6)=1,"Pour le premier jour","Pour les "&amp;MIN(calc!D5,calc!B6)&amp;" premiers jours"))))</f>
        <v>Pour 365 jour(s)</v>
      </c>
      <c r="E21" s="17" t="str">
        <f>IF(AND(J13=0,G13=FALSE),"Pour "&amp;calc!$D$6&amp;" jour(s)",IF(G13=TRUE,"",IF(calc!$D$6=0,"",IF(calc!$D$6=1,IF(MIN(calc!$D$5,calc!$B$6)=0,"Pour 1 jour","Pour le jour suivant"),IF(MIN(calc!$D$5,calc!$B$6)=0,"Pour "&amp;calc!$D$6&amp;" jours","Pour les "&amp;calc!$D$6&amp;" jours suivants")))))</f>
        <v/>
      </c>
      <c r="G21" s="16"/>
      <c r="H21" s="16"/>
      <c r="I21" s="16"/>
      <c r="J21" s="16"/>
      <c r="K21" s="15"/>
      <c r="L21" s="15"/>
      <c r="M21" s="15"/>
      <c r="N21" s="15"/>
      <c r="O21" s="15"/>
      <c r="P21" s="10"/>
      <c r="Q21" s="10"/>
      <c r="R21" s="10"/>
    </row>
    <row r="22" spans="2:18" ht="15.95" customHeight="1" x14ac:dyDescent="0.15">
      <c r="B22" s="12" t="s">
        <v>79</v>
      </c>
      <c r="C22" s="18"/>
      <c r="D22" s="34">
        <f>+E12</f>
        <v>0</v>
      </c>
      <c r="E22" s="34">
        <f>+E12</f>
        <v>0</v>
      </c>
      <c r="F22" s="12"/>
      <c r="G22" s="16"/>
      <c r="H22" s="16"/>
      <c r="I22" s="16"/>
      <c r="J22" s="16"/>
      <c r="K22" s="15"/>
      <c r="L22" s="15"/>
      <c r="M22" s="15"/>
      <c r="N22" s="15"/>
      <c r="O22" s="15"/>
      <c r="P22" s="10"/>
      <c r="Q22" s="10"/>
      <c r="R22" s="10"/>
    </row>
    <row r="23" spans="2:18" ht="15.75" customHeight="1" x14ac:dyDescent="0.15">
      <c r="B23" s="12" t="s">
        <v>80</v>
      </c>
      <c r="C23" s="18"/>
      <c r="D23" s="35">
        <f>MAX(70%,100%-H13*6%)</f>
        <v>1</v>
      </c>
      <c r="E23" s="35">
        <f>MAX(70%,100%-(H13+1)*6%)</f>
        <v>0.94</v>
      </c>
      <c r="F23" s="12"/>
      <c r="G23" s="16"/>
      <c r="H23" s="16"/>
      <c r="I23" s="16"/>
      <c r="J23" s="16"/>
      <c r="K23" s="15"/>
      <c r="L23" s="15"/>
      <c r="M23" s="15"/>
      <c r="N23" s="15"/>
      <c r="O23" s="15"/>
      <c r="P23" s="10"/>
      <c r="Q23" s="10"/>
      <c r="R23" s="10"/>
    </row>
    <row r="24" spans="2:18" ht="15.95" customHeight="1" x14ac:dyDescent="0.15">
      <c r="B24" s="12" t="s">
        <v>64</v>
      </c>
      <c r="C24" s="18"/>
      <c r="D24" s="36">
        <f>IF(E12&gt;0,MAX(4%,IF(E8=calc!$M$6,4%,MIN(18%,5.5%+(IF(AND(calc!$L$32&gt;=2020,calc!$H$4&gt;=2018,$H$8=TRUE),coot2,coot)-IF(E8=calc!$K$6,calc!$K$41,calc!$K$42))*0.1%))),0)</f>
        <v>0</v>
      </c>
      <c r="E24" s="36">
        <f>IF(E12&gt;0,MAX(4%,IF(E8=calc!$M$6,4%,MIN(18%,5.5%+(IF(AND(calc!$L$32&gt;=2020,calc!$H$4&gt;=2018,$H$8=TRUE),coot2,coot)-IF(E8=calc!$K$6,calc!$K$41,calc!$K$42))*0.1%))),0)</f>
        <v>0</v>
      </c>
      <c r="F24" s="12"/>
      <c r="G24" s="16"/>
      <c r="H24" s="16"/>
      <c r="I24" s="16"/>
      <c r="J24" s="16"/>
      <c r="K24" s="15"/>
      <c r="L24" s="15"/>
      <c r="M24" s="15"/>
      <c r="N24" s="15"/>
      <c r="O24" s="15"/>
      <c r="P24" s="10"/>
      <c r="Q24" s="10"/>
      <c r="R24" s="10"/>
    </row>
    <row r="25" spans="2:18" ht="15.95" customHeight="1" x14ac:dyDescent="0.15">
      <c r="B25" s="12" t="s">
        <v>65</v>
      </c>
      <c r="C25" s="19"/>
      <c r="D25" s="36">
        <f>D24*0.857142857142857</f>
        <v>0</v>
      </c>
      <c r="E25" s="36">
        <f>E24*0.857142857142857</f>
        <v>0</v>
      </c>
      <c r="F25" s="12"/>
      <c r="G25" s="16"/>
      <c r="H25" s="16"/>
      <c r="I25" s="16"/>
      <c r="J25" s="16"/>
      <c r="K25" s="15"/>
      <c r="L25" s="15"/>
      <c r="M25" s="15"/>
      <c r="N25" s="15"/>
      <c r="O25" s="15"/>
      <c r="P25" s="10"/>
      <c r="Q25" s="10"/>
      <c r="R25" s="10"/>
    </row>
    <row r="26" spans="2:18" ht="15.95" customHeight="1" x14ac:dyDescent="0.15">
      <c r="B26" s="12" t="s">
        <v>81</v>
      </c>
      <c r="C26" s="19"/>
      <c r="D26" s="40">
        <f>IF(G13=TRUE,calc!D6,MIN(calc!D5,calc!B6))</f>
        <v>365</v>
      </c>
      <c r="E26" s="37">
        <f>IF(G13=TRUE,0,calc!D6)</f>
        <v>0</v>
      </c>
      <c r="G26" s="7"/>
      <c r="H26" s="7"/>
      <c r="I26" s="7"/>
      <c r="J26" s="9"/>
      <c r="K26" s="15"/>
      <c r="L26" s="15"/>
      <c r="M26" s="15"/>
      <c r="N26" s="15"/>
      <c r="O26" s="15"/>
      <c r="P26" s="10"/>
      <c r="Q26" s="10"/>
      <c r="R26" s="10"/>
    </row>
    <row r="27" spans="2:18" ht="15.95" customHeight="1" x14ac:dyDescent="0.15">
      <c r="B27" s="12" t="str">
        <f>"L'avantage est égal à [a] x [b] x [c] x [d]/"&amp;calc!$Q$33&amp;" :"</f>
        <v>L'avantage est égal à [a] x [b] x [c] x [d]/365 :</v>
      </c>
      <c r="C27" s="12"/>
      <c r="D27" s="41">
        <f>E12*D23*D25*IF(G13=TRUE,calc!D6,MIN(calc!D5,calc!B6))/calc!$Q$33</f>
        <v>0</v>
      </c>
      <c r="E27" s="14">
        <f>E12*E23*E25*IF(G13=TRUE,0,calc!D6)/calc!$Q$33</f>
        <v>0</v>
      </c>
      <c r="G27" s="7"/>
      <c r="H27" s="7"/>
      <c r="I27" s="7"/>
      <c r="J27" s="9"/>
      <c r="K27" s="15"/>
      <c r="L27" s="15"/>
      <c r="M27" s="15"/>
      <c r="N27" s="15"/>
      <c r="O27" s="15"/>
      <c r="P27" s="10"/>
      <c r="Q27" s="10"/>
      <c r="R27" s="10"/>
    </row>
    <row r="28" spans="2:18" ht="15.95" customHeight="1" x14ac:dyDescent="0.15">
      <c r="B28" s="12" t="str">
        <f>"Total pour "&amp;calc!L32&amp;" :"</f>
        <v>Total pour 2021 :</v>
      </c>
      <c r="C28" s="42" t="str">
        <f>IF(D28&gt;E27+D27,"[Le minimum est d'application]","")</f>
        <v>[Le minimum est d'application]</v>
      </c>
      <c r="D28" s="122">
        <f>MAX(calc!$K$43/calc!$Q$33*(D26+E26),D27+E27)</f>
        <v>1370</v>
      </c>
      <c r="E28" s="123"/>
      <c r="G28" s="7"/>
      <c r="H28" s="7"/>
      <c r="I28" s="7"/>
      <c r="J28" s="9"/>
      <c r="N28" s="10"/>
      <c r="O28" s="10"/>
      <c r="P28" s="10"/>
      <c r="Q28" s="10"/>
      <c r="R28" s="10"/>
    </row>
    <row r="29" spans="2:18" ht="15.95" customHeight="1" x14ac:dyDescent="0.15">
      <c r="B29" s="65" t="str">
        <f>"- contribution personnelle pour usage privé "&amp;calc!$L$32&amp;" :"</f>
        <v>- contribution personnelle pour usage privé 2021 :</v>
      </c>
      <c r="C29" s="12"/>
      <c r="D29" s="124">
        <f>MAX(-D28,-E18*IF(E12&gt;0,1,0))</f>
        <v>0</v>
      </c>
      <c r="E29" s="124"/>
      <c r="G29" s="7"/>
      <c r="H29" s="7"/>
      <c r="I29" s="7"/>
      <c r="J29" s="9"/>
      <c r="N29" s="10"/>
      <c r="O29" s="10"/>
      <c r="P29" s="10"/>
      <c r="Q29" s="10"/>
      <c r="R29" s="10"/>
    </row>
    <row r="30" spans="2:18" ht="15.95" customHeight="1" x14ac:dyDescent="0.15">
      <c r="B30" s="12" t="s">
        <v>82</v>
      </c>
      <c r="C30" s="12"/>
      <c r="D30" s="122">
        <f>MAX(0,D28+D29)</f>
        <v>1370</v>
      </c>
      <c r="E30" s="123"/>
      <c r="G30" s="7"/>
      <c r="H30" s="7"/>
      <c r="I30" s="7"/>
      <c r="J30" s="9"/>
      <c r="N30" s="10"/>
      <c r="O30" s="10"/>
      <c r="P30" s="10"/>
      <c r="Q30" s="10"/>
      <c r="R30" s="10"/>
    </row>
    <row r="31" spans="2:18" ht="15.95" customHeight="1" x14ac:dyDescent="0.15">
      <c r="B31" s="12"/>
      <c r="C31" s="12"/>
      <c r="D31" s="11"/>
      <c r="E31" s="23"/>
      <c r="G31" s="7"/>
      <c r="H31" s="7"/>
      <c r="I31" s="7"/>
      <c r="J31" s="9"/>
      <c r="N31" s="10"/>
      <c r="O31" s="10"/>
      <c r="P31" s="10"/>
      <c r="Q31" s="10"/>
      <c r="R31" s="10"/>
    </row>
    <row r="32" spans="2:18" ht="15.95" customHeight="1" x14ac:dyDescent="0.15">
      <c r="B32" s="12"/>
      <c r="C32" s="12"/>
      <c r="D32" s="24"/>
      <c r="E32" s="23"/>
      <c r="G32" s="7"/>
      <c r="H32" s="7"/>
      <c r="I32" s="7"/>
      <c r="J32" s="9"/>
      <c r="N32" s="10"/>
      <c r="O32" s="10"/>
      <c r="P32" s="10"/>
      <c r="Q32" s="10"/>
      <c r="R32" s="10"/>
    </row>
    <row r="33" spans="2:10" ht="24" customHeight="1" x14ac:dyDescent="0.15">
      <c r="B33" s="5" t="s">
        <v>90</v>
      </c>
      <c r="C33" s="12"/>
      <c r="D33" s="12"/>
      <c r="E33" s="13">
        <f>calc!$L$32</f>
        <v>2021</v>
      </c>
      <c r="G33" s="7"/>
      <c r="H33" s="7"/>
      <c r="I33" s="7"/>
      <c r="J33" s="9"/>
    </row>
    <row r="34" spans="2:10" ht="15.95" customHeight="1" x14ac:dyDescent="0.15">
      <c r="B34" s="12" t="str">
        <f>"Avantage de toute nature privé "&amp;calc!L32&amp;" :"</f>
        <v>Avantage de toute nature privé 2021 :</v>
      </c>
      <c r="E34" s="22">
        <f>+D30</f>
        <v>1370</v>
      </c>
      <c r="G34" s="7"/>
      <c r="H34" s="7"/>
      <c r="I34" s="7"/>
      <c r="J34" s="9"/>
    </row>
    <row r="35" spans="2:10" ht="15.95" customHeight="1" x14ac:dyDescent="0.15">
      <c r="B35" s="12" t="str">
        <f>"Dépenses non admises (code 1206) pour la société "&amp;calc!$L$32&amp;" :"</f>
        <v>Dépenses non admises (code 1206) pour la société 2021 :</v>
      </c>
      <c r="C35" s="12"/>
      <c r="D35" s="12"/>
      <c r="E35" s="22">
        <f>+D28*IF(calc!D44="neen",0.17,0.4)</f>
        <v>548</v>
      </c>
      <c r="G35" s="7"/>
      <c r="H35" s="7"/>
      <c r="I35" s="7"/>
      <c r="J35" s="9"/>
    </row>
    <row r="36" spans="2:10" ht="15.95" customHeight="1" x14ac:dyDescent="0.15">
      <c r="B36" s="12"/>
      <c r="C36" s="12"/>
      <c r="D36" s="12"/>
      <c r="E36" s="12"/>
      <c r="G36" s="7"/>
      <c r="H36" s="7"/>
      <c r="I36" s="7"/>
      <c r="J36" s="9"/>
    </row>
    <row r="37" spans="2:10" ht="15.95" customHeight="1" x14ac:dyDescent="0.15">
      <c r="B37" s="12"/>
      <c r="C37" s="12"/>
      <c r="D37" s="12"/>
      <c r="E37" s="12"/>
      <c r="G37" s="7"/>
      <c r="H37" s="7"/>
      <c r="I37" s="7"/>
      <c r="J37" s="9"/>
    </row>
    <row r="38" spans="2:10" ht="30" customHeight="1" x14ac:dyDescent="0.15">
      <c r="B38" s="5" t="s">
        <v>89</v>
      </c>
      <c r="C38" s="12"/>
      <c r="D38" s="12"/>
      <c r="E38" s="12"/>
      <c r="G38" s="7"/>
      <c r="H38" s="7"/>
      <c r="I38" s="7"/>
      <c r="J38" s="9"/>
    </row>
    <row r="39" spans="2:10" ht="15.95" customHeight="1" x14ac:dyDescent="0.15">
      <c r="B39" s="66" t="s">
        <v>83</v>
      </c>
      <c r="C39" s="12"/>
      <c r="D39" s="12"/>
      <c r="E39" s="105">
        <f>calc!$C$49+43000</f>
        <v>43831</v>
      </c>
      <c r="G39" s="25" t="s">
        <v>1</v>
      </c>
      <c r="H39" s="7"/>
      <c r="I39" s="7"/>
      <c r="J39" s="9"/>
    </row>
    <row r="40" spans="2:10" ht="10.5" customHeight="1" x14ac:dyDescent="0.15">
      <c r="B40" s="12"/>
      <c r="C40" s="12"/>
      <c r="D40" s="12"/>
      <c r="E40" s="12"/>
      <c r="G40" s="7"/>
      <c r="H40" s="7"/>
      <c r="I40" s="7"/>
      <c r="J40" s="9"/>
    </row>
    <row r="41" spans="2:10" ht="15.95" customHeight="1" x14ac:dyDescent="0.15">
      <c r="B41" s="11"/>
      <c r="C41" s="12"/>
      <c r="D41" s="13" t="s">
        <v>62</v>
      </c>
      <c r="E41" s="13" t="s">
        <v>63</v>
      </c>
      <c r="G41" s="25" t="s">
        <v>1</v>
      </c>
      <c r="H41" s="7"/>
      <c r="I41" s="7"/>
      <c r="J41" s="9"/>
    </row>
    <row r="42" spans="2:10" ht="15.95" customHeight="1" x14ac:dyDescent="0.15">
      <c r="B42" s="66" t="str">
        <f>"Société jusqu'à l'EI "&amp;calc!$D$49-1&amp;" :"</f>
        <v>Société jusqu'à l'EI 2020 :</v>
      </c>
      <c r="D42" s="74">
        <v>0.75</v>
      </c>
      <c r="E42" s="74">
        <f>HLOOKUP($E$8,calc!$L$26:$Q$28,3,FALSE)</f>
        <v>1.2</v>
      </c>
      <c r="G42" s="7"/>
      <c r="H42" s="7"/>
      <c r="I42" s="7"/>
      <c r="J42" s="9"/>
    </row>
    <row r="43" spans="2:10" ht="15.95" customHeight="1" x14ac:dyDescent="0.15">
      <c r="B43" s="66" t="str">
        <f>"Société depuis l'EI "&amp;calc!$D$49&amp;" :"</f>
        <v>Société depuis l'EI 2021 :</v>
      </c>
      <c r="D43" s="74">
        <f>E43</f>
        <v>1</v>
      </c>
      <c r="E43" s="75">
        <f>calc!L4</f>
        <v>1</v>
      </c>
      <c r="G43" s="7"/>
      <c r="H43" s="7"/>
      <c r="I43" s="7"/>
      <c r="J43" s="9"/>
    </row>
    <row r="44" spans="2:10" ht="9.75" customHeight="1" x14ac:dyDescent="0.15">
      <c r="B44" s="66"/>
      <c r="G44" s="7"/>
      <c r="H44" s="7"/>
      <c r="I44" s="7"/>
      <c r="J44" s="9"/>
    </row>
    <row r="45" spans="2:10" ht="15.95" customHeight="1" x14ac:dyDescent="0.15">
      <c r="B45" s="66" t="s">
        <v>84</v>
      </c>
      <c r="D45" s="75">
        <v>0.75</v>
      </c>
      <c r="E45" s="75">
        <v>0.75</v>
      </c>
      <c r="G45" s="7"/>
      <c r="H45" s="7"/>
      <c r="I45" s="7"/>
      <c r="J45" s="9"/>
    </row>
    <row r="46" spans="2:10" ht="15.95" customHeight="1" x14ac:dyDescent="0.15">
      <c r="B46" s="66" t="s">
        <v>85</v>
      </c>
      <c r="D46" s="75">
        <v>0.75</v>
      </c>
      <c r="E46" s="75">
        <f>HLOOKUP($E$8,calc!$L$26:$Q$28,2,FALSE)</f>
        <v>1.2</v>
      </c>
      <c r="G46" s="7"/>
      <c r="H46" s="7"/>
      <c r="I46" s="7"/>
      <c r="J46" s="9"/>
    </row>
    <row r="47" spans="2:10" ht="15.95" customHeight="1" x14ac:dyDescent="0.15">
      <c r="B47" s="66" t="s">
        <v>86</v>
      </c>
      <c r="D47" s="75">
        <f>E47</f>
        <v>1</v>
      </c>
      <c r="E47" s="75">
        <f>calc!M4</f>
        <v>1</v>
      </c>
      <c r="G47" s="7"/>
      <c r="H47" s="7"/>
      <c r="I47" s="7"/>
      <c r="J47" s="9"/>
    </row>
    <row r="48" spans="2:10" ht="15.95" customHeight="1" x14ac:dyDescent="0.15">
      <c r="B48" s="11"/>
      <c r="C48" s="11"/>
      <c r="D48" s="11"/>
      <c r="E48" s="11"/>
      <c r="G48" s="7"/>
      <c r="H48" s="7"/>
      <c r="I48" s="7"/>
      <c r="J48" s="9"/>
    </row>
    <row r="49" spans="1:10" ht="15.95" customHeight="1" x14ac:dyDescent="0.15">
      <c r="B49" s="11"/>
      <c r="C49" s="125" t="s">
        <v>47</v>
      </c>
      <c r="D49" s="125"/>
      <c r="E49" s="125"/>
      <c r="G49" s="7"/>
      <c r="H49" s="7"/>
      <c r="I49" s="7"/>
      <c r="J49" s="9"/>
    </row>
    <row r="50" spans="1:10" ht="15.95" customHeight="1" x14ac:dyDescent="0.15">
      <c r="G50" s="7"/>
      <c r="H50" s="7"/>
      <c r="I50" s="7"/>
      <c r="J50" s="9"/>
    </row>
    <row r="51" spans="1:10" ht="15.95" customHeight="1" x14ac:dyDescent="0.15">
      <c r="A51" s="9"/>
      <c r="B51" s="9"/>
      <c r="C51" s="9"/>
      <c r="D51" s="9"/>
      <c r="E51" s="9"/>
      <c r="F51" s="9"/>
      <c r="G51" s="9"/>
      <c r="H51" s="9"/>
      <c r="I51" s="9"/>
      <c r="J51" s="9"/>
    </row>
    <row r="52" spans="1:10" ht="15.95" customHeight="1" x14ac:dyDescent="0.15">
      <c r="B52" s="11"/>
      <c r="C52" s="11"/>
      <c r="D52" s="11"/>
      <c r="E52" s="11"/>
    </row>
  </sheetData>
  <sheetProtection algorithmName="SHA-512" hashValue="MJNhEiU7HSnPSS2k0vJ889/Jk41CWKq+3sG7YM4StA4WnFV0wQqwxTJeI90EjERsbusqTvQtegSihp1suGYt8w==" saltValue="hFqf/aurIP/GZU2MxBtP/Q==" spinCount="100000" sheet="1" objects="1" scenarios="1"/>
  <mergeCells count="4">
    <mergeCell ref="D28:E28"/>
    <mergeCell ref="D29:E29"/>
    <mergeCell ref="D30:E30"/>
    <mergeCell ref="C49:E49"/>
  </mergeCells>
  <conditionalFormatting sqref="E22:E27">
    <cfRule type="expression" dxfId="11" priority="9" stopIfTrue="1">
      <formula>$G$13=TRUE</formula>
    </cfRule>
  </conditionalFormatting>
  <conditionalFormatting sqref="B29:C32">
    <cfRule type="expression" dxfId="10" priority="11" stopIfTrue="1">
      <formula>$J$13=12</formula>
    </cfRule>
    <cfRule type="expression" dxfId="9" priority="12" stopIfTrue="1">
      <formula>$G$16=TRUE</formula>
    </cfRule>
  </conditionalFormatting>
  <conditionalFormatting sqref="E15">
    <cfRule type="expression" dxfId="8" priority="5">
      <formula>$G$15=FALSE</formula>
    </cfRule>
  </conditionalFormatting>
  <dataValidations count="1">
    <dataValidation allowBlank="1" showInputMessage="1" showErrorMessage="1" prompt="Faites glisser le curseur ou utilisez les flèches pour modifier la date." sqref="E14"/>
  </dataValidations>
  <hyperlinks>
    <hyperlink ref="G2" location="Home!A1" tooltip="Home" display="Ç"/>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4</xdr:col>
                    <xdr:colOff>266700</xdr:colOff>
                    <xdr:row>12</xdr:row>
                    <xdr:rowOff>28575</xdr:rowOff>
                  </from>
                  <to>
                    <xdr:col>4</xdr:col>
                    <xdr:colOff>1038225</xdr:colOff>
                    <xdr:row>13</xdr:row>
                    <xdr:rowOff>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4</xdr:col>
                    <xdr:colOff>1038225</xdr:colOff>
                    <xdr:row>12</xdr:row>
                    <xdr:rowOff>19050</xdr:rowOff>
                  </from>
                  <to>
                    <xdr:col>5</xdr:col>
                    <xdr:colOff>0</xdr:colOff>
                    <xdr:row>12</xdr:row>
                    <xdr:rowOff>190500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4</xdr:col>
                    <xdr:colOff>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53" r:id="rId7" name="Drop Down 13">
              <controlPr defaultSize="0" autoLine="0" autoPict="0">
                <anchor moveWithCells="1">
                  <from>
                    <xdr:col>3</xdr:col>
                    <xdr:colOff>1447800</xdr:colOff>
                    <xdr:row>12</xdr:row>
                    <xdr:rowOff>28575</xdr:rowOff>
                  </from>
                  <to>
                    <xdr:col>4</xdr:col>
                    <xdr:colOff>247650</xdr:colOff>
                    <xdr:row>13</xdr:row>
                    <xdr:rowOff>0</xdr:rowOff>
                  </to>
                </anchor>
              </controlPr>
            </control>
          </mc:Choice>
        </mc:AlternateContent>
        <mc:AlternateContent xmlns:mc="http://schemas.openxmlformats.org/markup-compatibility/2006">
          <mc:Choice Requires="x14">
            <control shapeId="10254" r:id="rId8" name="Scroll Bar 14">
              <controlPr defaultSize="0" autoPict="0">
                <anchor moveWithCells="1">
                  <from>
                    <xdr:col>4</xdr:col>
                    <xdr:colOff>19050</xdr:colOff>
                    <xdr:row>14</xdr:row>
                    <xdr:rowOff>19050</xdr:rowOff>
                  </from>
                  <to>
                    <xdr:col>4</xdr:col>
                    <xdr:colOff>704850</xdr:colOff>
                    <xdr:row>14</xdr:row>
                    <xdr:rowOff>180975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1</xdr:col>
                    <xdr:colOff>47625</xdr:colOff>
                    <xdr:row>14</xdr:row>
                    <xdr:rowOff>9525</xdr:rowOff>
                  </from>
                  <to>
                    <xdr:col>1</xdr:col>
                    <xdr:colOff>238125</xdr:colOff>
                    <xdr:row>15</xdr:row>
                    <xdr:rowOff>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2</xdr:col>
                    <xdr:colOff>1619250</xdr:colOff>
                    <xdr:row>6</xdr:row>
                    <xdr:rowOff>180975</xdr:rowOff>
                  </from>
                  <to>
                    <xdr:col>3</xdr:col>
                    <xdr:colOff>180975</xdr:colOff>
                    <xdr:row>8</xdr:row>
                    <xdr:rowOff>19050</xdr:rowOff>
                  </to>
                </anchor>
              </controlPr>
            </control>
          </mc:Choice>
        </mc:AlternateContent>
        <mc:AlternateContent xmlns:mc="http://schemas.openxmlformats.org/markup-compatibility/2006">
          <mc:Choice Requires="x14">
            <control shapeId="10261" r:id="rId11" name="Scroll Bar 21">
              <controlPr defaultSize="0" autoPict="0">
                <anchor moveWithCells="1">
                  <from>
                    <xdr:col>4</xdr:col>
                    <xdr:colOff>19050</xdr:colOff>
                    <xdr:row>13</xdr:row>
                    <xdr:rowOff>19050</xdr:rowOff>
                  </from>
                  <to>
                    <xdr:col>4</xdr:col>
                    <xdr:colOff>704850</xdr:colOff>
                    <xdr:row>13</xdr:row>
                    <xdr:rowOff>180975</xdr:rowOff>
                  </to>
                </anchor>
              </controlPr>
            </control>
          </mc:Choice>
        </mc:AlternateContent>
        <mc:AlternateContent xmlns:mc="http://schemas.openxmlformats.org/markup-compatibility/2006">
          <mc:Choice Requires="x14">
            <control shapeId="10264" r:id="rId12" name="Drop Down 24">
              <controlPr defaultSize="0" autoLine="0" autoPict="0">
                <anchor moveWithCells="1">
                  <from>
                    <xdr:col>4</xdr:col>
                    <xdr:colOff>38100</xdr:colOff>
                    <xdr:row>8</xdr:row>
                    <xdr:rowOff>19050</xdr:rowOff>
                  </from>
                  <to>
                    <xdr:col>4</xdr:col>
                    <xdr:colOff>1571625</xdr:colOff>
                    <xdr:row>8</xdr:row>
                    <xdr:rowOff>190500</xdr:rowOff>
                  </to>
                </anchor>
              </controlPr>
            </control>
          </mc:Choice>
        </mc:AlternateContent>
        <mc:AlternateContent xmlns:mc="http://schemas.openxmlformats.org/markup-compatibility/2006">
          <mc:Choice Requires="x14">
            <control shapeId="10268" r:id="rId13" name="Scroll Bar 28">
              <controlPr defaultSize="0" autoPict="0">
                <anchor moveWithCells="1">
                  <from>
                    <xdr:col>4</xdr:col>
                    <xdr:colOff>9525</xdr:colOff>
                    <xdr:row>38</xdr:row>
                    <xdr:rowOff>19050</xdr:rowOff>
                  </from>
                  <to>
                    <xdr:col>4</xdr:col>
                    <xdr:colOff>695325</xdr:colOff>
                    <xdr:row>38</xdr:row>
                    <xdr:rowOff>180975</xdr:rowOff>
                  </to>
                </anchor>
              </controlPr>
            </control>
          </mc:Choice>
        </mc:AlternateContent>
        <mc:AlternateContent xmlns:mc="http://schemas.openxmlformats.org/markup-compatibility/2006">
          <mc:Choice Requires="x14">
            <control shapeId="10269" r:id="rId14" name="Drop Down 29">
              <controlPr defaultSize="0" autoFill="0" autoLine="0" autoPict="0">
                <anchor moveWithCells="1" sizeWithCells="1">
                  <from>
                    <xdr:col>3</xdr:col>
                    <xdr:colOff>1581150</xdr:colOff>
                    <xdr:row>4</xdr:row>
                    <xdr:rowOff>9525</xdr:rowOff>
                  </from>
                  <to>
                    <xdr:col>5</xdr:col>
                    <xdr:colOff>28575</xdr:colOff>
                    <xdr:row>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00000000-000E-0000-0100-000009000000}">
            <xm:f>AND($G$13=FALSE,OR($J$13=0,MIN(calc!$D$5,calc!$B$6)=0))</xm:f>
            <x14:dxf>
              <font>
                <condense val="0"/>
                <extend val="0"/>
                <color indexed="53"/>
              </font>
              <fill>
                <patternFill>
                  <bgColor indexed="53"/>
                </patternFill>
              </fill>
            </x14:dxf>
          </x14:cfRule>
          <xm:sqref>D22:D27</xm:sqref>
        </x14:conditionalFormatting>
        <x14:conditionalFormatting xmlns:xm="http://schemas.microsoft.com/office/excel/2006/main">
          <x14:cfRule type="expression" priority="4" id="{DADC6590-9C8F-4962-A22E-35D48C0A83C7}">
            <xm:f>OR($H$8=FALSE,calc!$H$4&lt;2018,$E$8=calc!$M$6)</xm:f>
            <x14:dxf>
              <font>
                <color theme="0"/>
              </font>
              <fill>
                <patternFill patternType="none">
                  <bgColor auto="1"/>
                </patternFill>
              </fill>
            </x14:dxf>
          </x14:cfRule>
          <xm:sqref>B11 E11</xm:sqref>
        </x14:conditionalFormatting>
        <x14:conditionalFormatting xmlns:xm="http://schemas.microsoft.com/office/excel/2006/main">
          <x14:cfRule type="expression" priority="14" stopIfTrue="1" id="{00000000-000E-0000-0100-000004000000}">
            <xm:f>calc!$D$6=0</xm:f>
            <x14:dxf>
              <font>
                <condense val="0"/>
                <extend val="0"/>
                <color indexed="53"/>
              </font>
              <fill>
                <patternFill>
                  <bgColor indexed="53"/>
                </patternFill>
              </fill>
            </x14:dxf>
          </x14:cfRule>
          <xm:sqref>E22:E27</xm:sqref>
        </x14:conditionalFormatting>
        <x14:conditionalFormatting xmlns:xm="http://schemas.microsoft.com/office/excel/2006/main">
          <x14:cfRule type="expression" priority="1" id="{DEB7EFAA-C1B8-42FB-A667-1C10804A8F43}">
            <xm:f>$E$8=calc!$M$6</xm:f>
            <x14:dxf>
              <fill>
                <patternFill patternType="gray125"/>
              </fill>
              <border>
                <left/>
                <right/>
                <top/>
                <bottom/>
              </border>
            </x14:dxf>
          </x14:cfRule>
          <xm:sqref>D8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calc!$K$6:$P$6</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autoPageBreaks="0"/>
  </sheetPr>
  <dimension ref="A1:T51"/>
  <sheetViews>
    <sheetView showGridLines="0" showRowColHeaders="0" topLeftCell="A31" zoomScale="90" zoomScaleNormal="90" workbookViewId="0">
      <selection activeCell="M44" sqref="M44"/>
    </sheetView>
  </sheetViews>
  <sheetFormatPr defaultColWidth="15.5703125" defaultRowHeight="15" customHeight="1" x14ac:dyDescent="0.15"/>
  <cols>
    <col min="1" max="1" width="15.5703125" style="27"/>
    <col min="2" max="2" width="15.5703125" style="27" customWidth="1"/>
    <col min="3" max="3" width="16.42578125" style="27" customWidth="1"/>
    <col min="4" max="4" width="15.5703125" style="28" customWidth="1"/>
    <col min="5" max="5" width="15.5703125" style="27"/>
    <col min="6" max="10" width="9.7109375" style="27" customWidth="1"/>
    <col min="11" max="11" width="17.42578125" style="27" customWidth="1"/>
    <col min="12" max="12" width="22" style="27" customWidth="1"/>
    <col min="13" max="15" width="15.5703125" style="27"/>
    <col min="16" max="16" width="18" style="27" customWidth="1"/>
    <col min="17" max="16384" width="15.5703125" style="27"/>
  </cols>
  <sheetData>
    <row r="1" spans="1:19" ht="15" customHeight="1" x14ac:dyDescent="0.15">
      <c r="C1" s="55" t="s">
        <v>18</v>
      </c>
      <c r="D1" s="27" t="s">
        <v>10</v>
      </c>
      <c r="G1" s="58"/>
    </row>
    <row r="2" spans="1:19" ht="15" customHeight="1" x14ac:dyDescent="0.15">
      <c r="A2" s="27" t="s">
        <v>19</v>
      </c>
      <c r="B2" s="59">
        <f>DATE($D$33,calc!C10,E9)</f>
        <v>44197</v>
      </c>
      <c r="D2" s="27"/>
      <c r="G2" s="58"/>
      <c r="K2" s="128" t="s">
        <v>29</v>
      </c>
      <c r="L2" s="129"/>
      <c r="M2" s="129"/>
      <c r="N2" s="129"/>
      <c r="O2" s="130"/>
    </row>
    <row r="3" spans="1:19" ht="15" customHeight="1" x14ac:dyDescent="0.15">
      <c r="B3" s="39"/>
      <c r="C3" s="46">
        <v>0</v>
      </c>
      <c r="D3" s="46">
        <v>2</v>
      </c>
      <c r="G3" s="57"/>
      <c r="H3" s="1" t="s">
        <v>15</v>
      </c>
      <c r="K3" s="73" t="s">
        <v>28</v>
      </c>
      <c r="L3" s="27" t="s">
        <v>22</v>
      </c>
      <c r="M3" s="27" t="s">
        <v>23</v>
      </c>
    </row>
    <row r="4" spans="1:19" ht="15" customHeight="1" x14ac:dyDescent="0.15">
      <c r="B4" s="45">
        <f>DATE($L$32,calc!C10,IF('1'!G13=TRUE,E9,1))-1</f>
        <v>44196</v>
      </c>
      <c r="C4" s="45">
        <f>IF(YEAR('1'!$E$14)=$L$32,DATE(YEAR('1'!$E$14),MONTH('1'!E14),DAY('1'!E14))-1,B5)</f>
        <v>44196</v>
      </c>
      <c r="D4" s="39">
        <f>'1'!$E$15</f>
        <v>44198</v>
      </c>
      <c r="G4" s="46">
        <v>2</v>
      </c>
      <c r="H4" s="53">
        <f>IF(OR($L$32=2017,G4=1),2017,2018)</f>
        <v>2018</v>
      </c>
      <c r="K4" s="52" t="s">
        <v>12</v>
      </c>
      <c r="L4" s="86">
        <f>IF($K$5=$M$6,100,IF(IF(AND($H$4&gt;=2018,'1'!$H$8=TRUE),coot2,coot)&gt;=200,40,MAX(50,MIN(100,120-(0.5*HLOOKUP(K5,K6:P7,2,FALSE)*IF(AND($H$4&gt;=2018,'1'!$H$8=TRUE),coot2,coot))))))/100</f>
        <v>1</v>
      </c>
      <c r="M4" s="86">
        <f>IF($K$5=$M$6,100,IF(IF(AND($H$4&gt;=2018,'1'!$H$8=TRUE),coot2,coot)&gt;=200,40,MAX(IF($H$4&lt;2018,75,50),MIN(100,120-(0.5*HLOOKUP($K$5,$K$6:$P$7,2,FALSE)*IF(AND($H$4&gt;=2018,'1'!$H$8=TRUE),coot2,coot))))))/100</f>
        <v>1</v>
      </c>
    </row>
    <row r="5" spans="1:19" ht="15" customHeight="1" x14ac:dyDescent="0.15">
      <c r="B5" s="39">
        <f>DATE($L$32,1,1)-1</f>
        <v>44196</v>
      </c>
      <c r="C5" s="39">
        <f>DATE($L$32,1,1)-1</f>
        <v>44196</v>
      </c>
      <c r="D5" s="44">
        <f>IF('1'!$G$15=TRUE,MAX(0,$D$4-calc!$C$4-1),$Q$33-$C$6)</f>
        <v>365</v>
      </c>
      <c r="G5" s="57">
        <v>1</v>
      </c>
      <c r="H5" s="54" t="s">
        <v>16</v>
      </c>
      <c r="K5" s="28" t="str">
        <f>'1'!E8</f>
        <v>Essence</v>
      </c>
    </row>
    <row r="6" spans="1:19" ht="15" customHeight="1" x14ac:dyDescent="0.15">
      <c r="A6" s="63" t="s">
        <v>20</v>
      </c>
      <c r="B6" s="62">
        <f>MAX(0,B4-B5-C6)</f>
        <v>0</v>
      </c>
      <c r="C6" s="27">
        <f>C4-C5</f>
        <v>0</v>
      </c>
      <c r="D6" s="64">
        <f>MAX(0,D5-B6)</f>
        <v>365</v>
      </c>
      <c r="G6" s="57">
        <v>2</v>
      </c>
      <c r="H6" s="54" t="str">
        <f>IF($L$32&lt;2018,"",IF($L$32&lt;2019,"2018","2018 ou après"))</f>
        <v>2018 ou après</v>
      </c>
      <c r="K6" s="48" t="s">
        <v>4</v>
      </c>
      <c r="L6" s="48" t="s">
        <v>69</v>
      </c>
      <c r="M6" s="48" t="s">
        <v>70</v>
      </c>
      <c r="N6" s="48" t="s">
        <v>11</v>
      </c>
      <c r="O6" s="48" t="s">
        <v>71</v>
      </c>
      <c r="P6" s="48" t="s">
        <v>72</v>
      </c>
    </row>
    <row r="7" spans="1:19" ht="15" customHeight="1" x14ac:dyDescent="0.15">
      <c r="B7" s="60"/>
      <c r="C7" s="31"/>
      <c r="D7" s="61"/>
      <c r="E7" s="31"/>
      <c r="K7" s="49">
        <v>1</v>
      </c>
      <c r="L7" s="49">
        <v>0.95</v>
      </c>
      <c r="M7" s="50">
        <v>0.9</v>
      </c>
      <c r="N7" s="50">
        <f>L7</f>
        <v>0.95</v>
      </c>
      <c r="O7" s="50">
        <v>0.9</v>
      </c>
      <c r="P7" s="27">
        <v>0.95</v>
      </c>
    </row>
    <row r="8" spans="1:19" ht="15" customHeight="1" x14ac:dyDescent="0.15">
      <c r="C8" s="126" t="s">
        <v>17</v>
      </c>
      <c r="D8" s="126"/>
      <c r="E8" s="126"/>
      <c r="F8" s="126"/>
      <c r="G8" s="126"/>
      <c r="H8" s="126"/>
      <c r="I8" s="126"/>
      <c r="J8" s="126"/>
      <c r="K8" s="49"/>
      <c r="L8" s="49"/>
      <c r="M8" s="50"/>
      <c r="N8" s="50"/>
      <c r="O8" s="50"/>
    </row>
    <row r="9" spans="1:19" ht="15" customHeight="1" x14ac:dyDescent="0.15">
      <c r="C9" s="31"/>
      <c r="D9" s="32"/>
      <c r="E9" s="46">
        <v>1</v>
      </c>
      <c r="L9" s="28"/>
      <c r="M9" s="28"/>
      <c r="N9" s="28"/>
    </row>
    <row r="10" spans="1:19" ht="15" customHeight="1" x14ac:dyDescent="0.15">
      <c r="C10" s="46">
        <v>1</v>
      </c>
      <c r="D10" s="32">
        <f>+C10-1</f>
        <v>0</v>
      </c>
      <c r="E10" s="31" t="str">
        <f>VLOOKUP(C10,C11:E22,3)</f>
        <v>dagen31</v>
      </c>
      <c r="F10" s="27" t="s">
        <v>7</v>
      </c>
      <c r="G10" s="27" t="s">
        <v>8</v>
      </c>
      <c r="H10" s="27" t="s">
        <v>6</v>
      </c>
      <c r="I10" s="27" t="s">
        <v>9</v>
      </c>
      <c r="K10" s="73" t="s">
        <v>34</v>
      </c>
      <c r="L10" s="52"/>
      <c r="M10" s="52"/>
      <c r="N10" s="52"/>
      <c r="O10" s="52"/>
      <c r="P10" s="52"/>
      <c r="Q10" s="52"/>
      <c r="R10"/>
      <c r="S10"/>
    </row>
    <row r="11" spans="1:19" ht="15" customHeight="1" x14ac:dyDescent="0.15">
      <c r="C11" s="31">
        <v>1</v>
      </c>
      <c r="D11" s="32" t="s">
        <v>48</v>
      </c>
      <c r="E11" s="31" t="s">
        <v>6</v>
      </c>
      <c r="F11" s="27">
        <v>1</v>
      </c>
      <c r="G11" s="27">
        <v>1</v>
      </c>
      <c r="H11" s="27">
        <v>1</v>
      </c>
      <c r="I11" s="27">
        <f ca="1">INDIRECT($E$10,)</f>
        <v>1</v>
      </c>
      <c r="K11" s="52"/>
      <c r="L11" s="48" t="s">
        <v>24</v>
      </c>
      <c r="M11" s="48" t="s">
        <v>25</v>
      </c>
      <c r="N11" s="48"/>
      <c r="O11" s="52"/>
      <c r="P11" s="52"/>
      <c r="Q11" s="52"/>
      <c r="R11"/>
      <c r="S11"/>
    </row>
    <row r="12" spans="1:19" ht="15" customHeight="1" x14ac:dyDescent="0.15">
      <c r="C12" s="31">
        <v>2</v>
      </c>
      <c r="D12" s="32" t="s">
        <v>49</v>
      </c>
      <c r="E12" s="31" t="s">
        <v>7</v>
      </c>
      <c r="F12" s="27">
        <v>2</v>
      </c>
      <c r="G12" s="27">
        <v>2</v>
      </c>
      <c r="H12" s="27">
        <v>2</v>
      </c>
      <c r="I12" s="27">
        <f t="shared" ref="I12:I41" ca="1" si="0">INDIRECT($E$10,)</f>
        <v>2</v>
      </c>
      <c r="K12" s="52">
        <v>0</v>
      </c>
      <c r="L12" s="67">
        <v>1.2</v>
      </c>
      <c r="M12" s="67">
        <v>1.2</v>
      </c>
      <c r="N12" s="67"/>
      <c r="O12" s="52"/>
      <c r="P12" s="52"/>
      <c r="Q12" s="52"/>
      <c r="R12"/>
      <c r="S12"/>
    </row>
    <row r="13" spans="1:19" ht="15" customHeight="1" x14ac:dyDescent="0.15">
      <c r="C13" s="31">
        <v>3</v>
      </c>
      <c r="D13" s="32" t="s">
        <v>50</v>
      </c>
      <c r="E13" s="31" t="s">
        <v>6</v>
      </c>
      <c r="F13" s="27">
        <v>3</v>
      </c>
      <c r="G13" s="27">
        <v>3</v>
      </c>
      <c r="H13" s="27">
        <v>3</v>
      </c>
      <c r="I13" s="27">
        <f t="shared" ca="1" si="0"/>
        <v>3</v>
      </c>
      <c r="K13" s="52">
        <v>1</v>
      </c>
      <c r="L13" s="67">
        <v>1</v>
      </c>
      <c r="M13" s="67">
        <v>1</v>
      </c>
      <c r="N13" s="52"/>
      <c r="O13" s="52"/>
      <c r="P13" s="52"/>
      <c r="Q13" s="52"/>
      <c r="R13"/>
      <c r="S13"/>
    </row>
    <row r="14" spans="1:19" ht="15" customHeight="1" x14ac:dyDescent="0.15">
      <c r="C14" s="31">
        <v>4</v>
      </c>
      <c r="D14" s="32" t="s">
        <v>51</v>
      </c>
      <c r="E14" s="31" t="s">
        <v>8</v>
      </c>
      <c r="F14" s="27">
        <v>4</v>
      </c>
      <c r="G14" s="27">
        <v>4</v>
      </c>
      <c r="H14" s="27">
        <v>4</v>
      </c>
      <c r="I14" s="27">
        <f t="shared" ca="1" si="0"/>
        <v>4</v>
      </c>
      <c r="K14" s="52">
        <v>61</v>
      </c>
      <c r="L14" s="67">
        <v>0.9</v>
      </c>
      <c r="M14" s="67">
        <v>0.9</v>
      </c>
      <c r="N14" s="52"/>
      <c r="O14" s="52"/>
      <c r="P14" s="52"/>
      <c r="Q14" s="52"/>
      <c r="R14"/>
      <c r="S14"/>
    </row>
    <row r="15" spans="1:19" ht="15" customHeight="1" x14ac:dyDescent="0.15">
      <c r="C15" s="31">
        <v>5</v>
      </c>
      <c r="D15" s="32" t="s">
        <v>52</v>
      </c>
      <c r="E15" s="31" t="s">
        <v>6</v>
      </c>
      <c r="F15" s="27">
        <v>5</v>
      </c>
      <c r="G15" s="27">
        <v>5</v>
      </c>
      <c r="H15" s="27">
        <v>5</v>
      </c>
      <c r="I15" s="27">
        <f t="shared" ca="1" si="0"/>
        <v>5</v>
      </c>
      <c r="K15" s="52">
        <v>106</v>
      </c>
      <c r="L15" s="67">
        <v>0.8</v>
      </c>
      <c r="M15" s="67">
        <v>0.8</v>
      </c>
      <c r="N15" s="52"/>
      <c r="O15" s="52"/>
      <c r="P15" s="52"/>
      <c r="Q15" s="52"/>
      <c r="R15"/>
      <c r="S15"/>
    </row>
    <row r="16" spans="1:19" ht="15" customHeight="1" x14ac:dyDescent="0.15">
      <c r="C16" s="31">
        <v>6</v>
      </c>
      <c r="D16" s="32" t="s">
        <v>53</v>
      </c>
      <c r="E16" s="31" t="s">
        <v>8</v>
      </c>
      <c r="F16" s="27">
        <v>6</v>
      </c>
      <c r="G16" s="27">
        <v>6</v>
      </c>
      <c r="H16" s="27">
        <v>6</v>
      </c>
      <c r="I16" s="27">
        <f t="shared" ca="1" si="0"/>
        <v>6</v>
      </c>
      <c r="K16" s="52">
        <v>116</v>
      </c>
      <c r="L16" s="67">
        <v>0.75</v>
      </c>
      <c r="M16" s="67">
        <v>0.8</v>
      </c>
      <c r="N16" s="52"/>
      <c r="O16" s="52"/>
      <c r="P16" s="52"/>
      <c r="Q16" s="52"/>
      <c r="R16"/>
      <c r="S16"/>
    </row>
    <row r="17" spans="3:20" ht="15" customHeight="1" x14ac:dyDescent="0.15">
      <c r="C17" s="31">
        <v>7</v>
      </c>
      <c r="D17" s="32" t="s">
        <v>54</v>
      </c>
      <c r="E17" s="31" t="s">
        <v>6</v>
      </c>
      <c r="F17" s="27">
        <v>7</v>
      </c>
      <c r="G17" s="27">
        <v>7</v>
      </c>
      <c r="H17" s="27">
        <v>7</v>
      </c>
      <c r="I17" s="27">
        <f t="shared" ca="1" si="0"/>
        <v>7</v>
      </c>
      <c r="K17" s="52">
        <v>126</v>
      </c>
      <c r="L17" s="67">
        <v>0.75</v>
      </c>
      <c r="M17" s="67">
        <v>0.75</v>
      </c>
      <c r="N17" s="52"/>
      <c r="O17" s="52"/>
      <c r="P17" s="52"/>
      <c r="Q17" s="52"/>
      <c r="R17"/>
      <c r="S17"/>
    </row>
    <row r="18" spans="3:20" ht="15" customHeight="1" x14ac:dyDescent="0.15">
      <c r="C18" s="31">
        <v>8</v>
      </c>
      <c r="D18" s="32" t="s">
        <v>55</v>
      </c>
      <c r="E18" s="31" t="s">
        <v>6</v>
      </c>
      <c r="F18" s="27">
        <v>8</v>
      </c>
      <c r="G18" s="27">
        <v>8</v>
      </c>
      <c r="H18" s="27">
        <v>8</v>
      </c>
      <c r="I18" s="27">
        <f t="shared" ca="1" si="0"/>
        <v>8</v>
      </c>
      <c r="K18" s="52">
        <v>146</v>
      </c>
      <c r="L18" s="67">
        <v>0.7</v>
      </c>
      <c r="M18" s="67">
        <v>0.75</v>
      </c>
      <c r="N18" s="52"/>
      <c r="O18" s="52"/>
      <c r="P18" s="52"/>
      <c r="Q18" s="52"/>
      <c r="R18"/>
      <c r="S18"/>
    </row>
    <row r="19" spans="3:20" ht="15" customHeight="1" x14ac:dyDescent="0.15">
      <c r="C19" s="31">
        <v>9</v>
      </c>
      <c r="D19" s="32" t="s">
        <v>56</v>
      </c>
      <c r="E19" s="31" t="s">
        <v>8</v>
      </c>
      <c r="F19" s="27">
        <v>9</v>
      </c>
      <c r="G19" s="27">
        <v>9</v>
      </c>
      <c r="H19" s="27">
        <v>9</v>
      </c>
      <c r="I19" s="27">
        <f t="shared" ca="1" si="0"/>
        <v>9</v>
      </c>
      <c r="K19" s="52">
        <v>156</v>
      </c>
      <c r="L19" s="67">
        <v>0.7</v>
      </c>
      <c r="M19" s="67">
        <v>0.7</v>
      </c>
      <c r="N19" s="52"/>
      <c r="O19" s="52"/>
      <c r="P19" s="52"/>
      <c r="Q19" s="52"/>
      <c r="R19"/>
      <c r="S19"/>
    </row>
    <row r="20" spans="3:20" ht="15" customHeight="1" x14ac:dyDescent="0.15">
      <c r="C20" s="31">
        <v>10</v>
      </c>
      <c r="D20" s="32" t="s">
        <v>57</v>
      </c>
      <c r="E20" s="31" t="s">
        <v>6</v>
      </c>
      <c r="F20" s="27">
        <v>10</v>
      </c>
      <c r="G20" s="27">
        <v>10</v>
      </c>
      <c r="H20" s="27">
        <v>10</v>
      </c>
      <c r="I20" s="27">
        <f t="shared" ca="1" si="0"/>
        <v>10</v>
      </c>
      <c r="K20" s="52">
        <v>171</v>
      </c>
      <c r="L20" s="67">
        <v>0.6</v>
      </c>
      <c r="M20" s="67">
        <v>0.7</v>
      </c>
      <c r="N20" s="52"/>
      <c r="O20" s="52"/>
      <c r="P20" s="52"/>
      <c r="Q20" s="52"/>
      <c r="R20"/>
      <c r="S20"/>
    </row>
    <row r="21" spans="3:20" ht="15" customHeight="1" x14ac:dyDescent="0.15">
      <c r="C21" s="31">
        <v>11</v>
      </c>
      <c r="D21" s="32" t="s">
        <v>58</v>
      </c>
      <c r="E21" s="31" t="s">
        <v>8</v>
      </c>
      <c r="F21" s="27">
        <v>11</v>
      </c>
      <c r="G21" s="27">
        <v>11</v>
      </c>
      <c r="H21" s="27">
        <v>11</v>
      </c>
      <c r="I21" s="27">
        <f t="shared" ca="1" si="0"/>
        <v>11</v>
      </c>
      <c r="K21" s="52">
        <v>181</v>
      </c>
      <c r="L21" s="67">
        <v>0.6</v>
      </c>
      <c r="M21" s="67">
        <v>0.6</v>
      </c>
      <c r="N21" s="52"/>
      <c r="O21" s="52"/>
      <c r="P21" s="52"/>
      <c r="Q21" s="52"/>
      <c r="R21"/>
      <c r="S21"/>
    </row>
    <row r="22" spans="3:20" ht="15" customHeight="1" x14ac:dyDescent="0.15">
      <c r="C22" s="31">
        <v>12</v>
      </c>
      <c r="D22" s="32" t="s">
        <v>59</v>
      </c>
      <c r="E22" s="31" t="s">
        <v>6</v>
      </c>
      <c r="F22" s="27">
        <v>12</v>
      </c>
      <c r="G22" s="27">
        <v>12</v>
      </c>
      <c r="H22" s="27">
        <v>12</v>
      </c>
      <c r="I22" s="27">
        <f t="shared" ca="1" si="0"/>
        <v>12</v>
      </c>
      <c r="K22" s="52">
        <v>196</v>
      </c>
      <c r="L22" s="67">
        <v>0.5</v>
      </c>
      <c r="M22" s="67">
        <v>0.6</v>
      </c>
      <c r="N22" s="52"/>
      <c r="O22" s="52"/>
      <c r="P22" s="52"/>
      <c r="Q22" s="52"/>
      <c r="R22"/>
      <c r="S22"/>
    </row>
    <row r="23" spans="3:20" ht="15" customHeight="1" x14ac:dyDescent="0.15">
      <c r="C23" s="31"/>
      <c r="D23" s="32"/>
      <c r="E23" s="31"/>
      <c r="F23" s="27">
        <v>13</v>
      </c>
      <c r="G23" s="27">
        <v>13</v>
      </c>
      <c r="H23" s="27">
        <v>13</v>
      </c>
      <c r="I23" s="27">
        <f t="shared" ca="1" si="0"/>
        <v>13</v>
      </c>
      <c r="K23" s="52">
        <v>206</v>
      </c>
      <c r="L23" s="67">
        <v>0.5</v>
      </c>
      <c r="M23" s="67">
        <v>0.5</v>
      </c>
      <c r="N23" s="52"/>
      <c r="O23" s="52"/>
      <c r="P23" s="52"/>
      <c r="Q23" s="52"/>
      <c r="R23"/>
      <c r="S23"/>
    </row>
    <row r="24" spans="3:20" ht="15" customHeight="1" x14ac:dyDescent="0.15">
      <c r="C24" s="31"/>
      <c r="D24" s="32"/>
      <c r="E24" s="31"/>
      <c r="F24" s="27">
        <v>14</v>
      </c>
      <c r="G24" s="27">
        <v>14</v>
      </c>
      <c r="H24" s="27">
        <v>14</v>
      </c>
      <c r="I24" s="27">
        <f t="shared" ca="1" si="0"/>
        <v>14</v>
      </c>
      <c r="K24" s="52"/>
      <c r="L24" s="52"/>
      <c r="M24" s="52"/>
      <c r="N24" s="52"/>
      <c r="O24" s="52"/>
      <c r="P24" s="52"/>
      <c r="Q24" s="52"/>
      <c r="R24"/>
      <c r="S24"/>
    </row>
    <row r="25" spans="3:20" ht="15" customHeight="1" x14ac:dyDescent="0.15">
      <c r="C25" s="31"/>
      <c r="D25" s="32"/>
      <c r="E25" s="31"/>
      <c r="F25" s="27">
        <v>15</v>
      </c>
      <c r="G25" s="27">
        <v>15</v>
      </c>
      <c r="H25" s="27">
        <v>15</v>
      </c>
      <c r="I25" s="27">
        <f t="shared" ca="1" si="0"/>
        <v>15</v>
      </c>
      <c r="K25" s="68" t="s">
        <v>26</v>
      </c>
      <c r="L25" s="127" t="s">
        <v>12</v>
      </c>
      <c r="M25" s="127"/>
      <c r="N25" s="127"/>
      <c r="O25" s="127"/>
      <c r="P25" s="127"/>
      <c r="Q25" s="76"/>
      <c r="R25"/>
      <c r="S25"/>
    </row>
    <row r="26" spans="3:20" ht="15" customHeight="1" x14ac:dyDescent="0.15">
      <c r="C26" s="31"/>
      <c r="D26" s="32"/>
      <c r="E26" s="31"/>
      <c r="F26" s="27">
        <v>16</v>
      </c>
      <c r="G26" s="27">
        <v>16</v>
      </c>
      <c r="H26" s="27">
        <v>16</v>
      </c>
      <c r="I26" s="27">
        <f t="shared" ca="1" si="0"/>
        <v>16</v>
      </c>
      <c r="K26" s="28" t="str">
        <f>'1'!E8</f>
        <v>Essence</v>
      </c>
      <c r="L26" s="48" t="str">
        <f>K6</f>
        <v>Diesel</v>
      </c>
      <c r="M26" s="48" t="str">
        <f t="shared" ref="M26:Q26" si="1">L6</f>
        <v>Essence</v>
      </c>
      <c r="N26" s="48" t="str">
        <f t="shared" si="1"/>
        <v>Électricité</v>
      </c>
      <c r="O26" s="48" t="str">
        <f t="shared" si="1"/>
        <v>LPG</v>
      </c>
      <c r="P26" s="48" t="str">
        <f t="shared" si="1"/>
        <v>CNG (gaz naturel) &lt; 12 cf</v>
      </c>
      <c r="Q26" s="48" t="str">
        <f t="shared" si="1"/>
        <v>CNG (gaz naturel) &gt;= 12 cf</v>
      </c>
      <c r="R26"/>
      <c r="S26"/>
    </row>
    <row r="27" spans="3:20" ht="15" customHeight="1" x14ac:dyDescent="0.15">
      <c r="C27" s="31"/>
      <c r="D27" s="32"/>
      <c r="E27" s="31"/>
      <c r="F27" s="27">
        <v>17</v>
      </c>
      <c r="G27" s="27">
        <v>17</v>
      </c>
      <c r="H27" s="27">
        <v>17</v>
      </c>
      <c r="I27" s="27">
        <f t="shared" ca="1" si="0"/>
        <v>17</v>
      </c>
      <c r="K27" s="69">
        <f>coot</f>
        <v>0</v>
      </c>
      <c r="L27" s="70">
        <f>MAX(IF($H$4&lt;2018,75%,50%),VLOOKUP(K27,K12:L23,2))</f>
        <v>1.2</v>
      </c>
      <c r="M27" s="70">
        <f>MAX(IF($H$4&lt;2018,75%,50%),VLOOKUP(K27,K12:M23,3))</f>
        <v>1.2</v>
      </c>
      <c r="N27" s="67">
        <v>1.2</v>
      </c>
      <c r="O27" s="67">
        <f>M27</f>
        <v>1.2</v>
      </c>
      <c r="P27" s="67">
        <f>M27</f>
        <v>1.2</v>
      </c>
      <c r="Q27" s="67">
        <f>M27</f>
        <v>1.2</v>
      </c>
      <c r="R27"/>
      <c r="S27" s="71" t="s">
        <v>27</v>
      </c>
      <c r="T27" s="67">
        <f>HLOOKUP($K$26,$L$26:$Q$28,2,FALSE)</f>
        <v>1.2</v>
      </c>
    </row>
    <row r="28" spans="3:20" ht="15" customHeight="1" x14ac:dyDescent="0.15">
      <c r="C28" s="31"/>
      <c r="D28" s="32"/>
      <c r="E28" s="31"/>
      <c r="F28" s="27">
        <v>18</v>
      </c>
      <c r="G28" s="27">
        <v>18</v>
      </c>
      <c r="H28" s="27">
        <v>18</v>
      </c>
      <c r="I28" s="27">
        <f t="shared" ca="1" si="0"/>
        <v>18</v>
      </c>
      <c r="K28" s="72"/>
      <c r="L28" s="70">
        <f>VLOOKUP(K27,K11:L23,2)</f>
        <v>1.2</v>
      </c>
      <c r="M28" s="70">
        <f>VLOOKUP(K27,K12:M23,3)</f>
        <v>1.2</v>
      </c>
      <c r="N28" s="67">
        <v>1.2</v>
      </c>
      <c r="O28" s="67">
        <f>M28</f>
        <v>1.2</v>
      </c>
      <c r="P28" s="67">
        <f>M28</f>
        <v>1.2</v>
      </c>
      <c r="Q28" s="67">
        <f>M28</f>
        <v>1.2</v>
      </c>
      <c r="R28"/>
      <c r="S28" s="71" t="s">
        <v>22</v>
      </c>
      <c r="T28" s="67">
        <f>HLOOKUP($K$26,$L$26:$Q$28,3,FALSE)</f>
        <v>1.2</v>
      </c>
    </row>
    <row r="29" spans="3:20" ht="15" customHeight="1" x14ac:dyDescent="0.15">
      <c r="C29" s="31"/>
      <c r="D29" s="32"/>
      <c r="E29" s="31"/>
      <c r="F29" s="27">
        <v>19</v>
      </c>
      <c r="G29" s="27">
        <v>19</v>
      </c>
      <c r="H29" s="27">
        <v>19</v>
      </c>
      <c r="I29" s="27">
        <f t="shared" ca="1" si="0"/>
        <v>19</v>
      </c>
      <c r="K29" s="30"/>
      <c r="L29" s="38"/>
      <c r="M29" s="38"/>
      <c r="N29" s="29"/>
    </row>
    <row r="30" spans="3:20" ht="15" customHeight="1" x14ac:dyDescent="0.15">
      <c r="C30" s="31" t="s">
        <v>32</v>
      </c>
      <c r="D30" s="32" t="b">
        <f>IF(INT(D33/4)=D33/4,TRUE,FALSE)</f>
        <v>0</v>
      </c>
      <c r="E30" s="31"/>
      <c r="F30" s="27">
        <v>20</v>
      </c>
      <c r="G30" s="27">
        <v>20</v>
      </c>
      <c r="H30" s="27">
        <v>20</v>
      </c>
      <c r="I30" s="27">
        <f t="shared" ca="1" si="0"/>
        <v>20</v>
      </c>
      <c r="K30" s="30"/>
      <c r="L30" s="38"/>
      <c r="M30" s="38"/>
      <c r="N30" s="29"/>
    </row>
    <row r="31" spans="3:20" ht="15" customHeight="1" x14ac:dyDescent="0.15">
      <c r="C31" s="31" t="s">
        <v>33</v>
      </c>
      <c r="D31" s="32"/>
      <c r="E31" s="31"/>
      <c r="F31" s="27">
        <v>21</v>
      </c>
      <c r="G31" s="27">
        <v>21</v>
      </c>
      <c r="H31" s="27">
        <v>21</v>
      </c>
      <c r="I31" s="27">
        <f t="shared" ca="1" si="0"/>
        <v>21</v>
      </c>
      <c r="K31" s="30"/>
      <c r="L31" s="38"/>
      <c r="M31" s="38"/>
      <c r="N31" s="29"/>
    </row>
    <row r="32" spans="3:20" ht="15" customHeight="1" x14ac:dyDescent="0.15">
      <c r="C32" s="31"/>
      <c r="D32" s="32"/>
      <c r="E32" s="31"/>
      <c r="F32" s="27">
        <v>22</v>
      </c>
      <c r="G32" s="27">
        <v>22</v>
      </c>
      <c r="H32" s="27">
        <v>22</v>
      </c>
      <c r="I32" s="27">
        <f t="shared" ca="1" si="0"/>
        <v>22</v>
      </c>
      <c r="K32" s="77">
        <v>1</v>
      </c>
      <c r="L32" s="78">
        <f>VLOOKUP(K32,K33:M36,3)</f>
        <v>2021</v>
      </c>
      <c r="M32" s="79"/>
      <c r="N32" s="52"/>
      <c r="O32" s="52"/>
      <c r="P32" s="52"/>
      <c r="Q32" s="52"/>
    </row>
    <row r="33" spans="2:17" ht="15" customHeight="1" x14ac:dyDescent="0.15">
      <c r="C33" s="46">
        <v>8</v>
      </c>
      <c r="D33" s="32">
        <f>IF(C33=1,D35-1,VLOOKUP(C33,C34:D41,2))</f>
        <v>2021</v>
      </c>
      <c r="E33" s="31"/>
      <c r="F33" s="27">
        <v>23</v>
      </c>
      <c r="G33" s="27">
        <v>23</v>
      </c>
      <c r="H33" s="27">
        <v>23</v>
      </c>
      <c r="I33" s="27">
        <f t="shared" ca="1" si="0"/>
        <v>23</v>
      </c>
      <c r="K33" s="79">
        <v>1</v>
      </c>
      <c r="L33" s="80" t="str">
        <f>"Année de revenus "&amp;M33</f>
        <v>Année de revenus 2021</v>
      </c>
      <c r="M33" s="81">
        <v>2021</v>
      </c>
      <c r="N33" s="82" t="s">
        <v>35</v>
      </c>
      <c r="O33" s="52"/>
      <c r="P33" s="52" t="s">
        <v>39</v>
      </c>
      <c r="Q33" s="88">
        <f>IF(INT($L$32/4)=L32/4,366,365)</f>
        <v>365</v>
      </c>
    </row>
    <row r="34" spans="2:17" ht="15" customHeight="1" x14ac:dyDescent="0.15">
      <c r="C34" s="31">
        <v>1</v>
      </c>
      <c r="D34" s="87">
        <f>D35</f>
        <v>2015</v>
      </c>
      <c r="E34" s="31"/>
      <c r="F34" s="27">
        <v>24</v>
      </c>
      <c r="G34" s="27">
        <v>24</v>
      </c>
      <c r="H34" s="27">
        <v>24</v>
      </c>
      <c r="I34" s="27">
        <f t="shared" ca="1" si="0"/>
        <v>24</v>
      </c>
      <c r="K34" s="79">
        <v>2</v>
      </c>
      <c r="L34" s="80" t="str">
        <f>"Année de revenus "&amp;M34</f>
        <v>Année de revenus 2020</v>
      </c>
      <c r="M34" s="79">
        <f>M33-1</f>
        <v>2020</v>
      </c>
      <c r="N34" s="52"/>
      <c r="O34" s="52"/>
      <c r="P34" s="52"/>
      <c r="Q34" s="52"/>
    </row>
    <row r="35" spans="2:17" ht="15" customHeight="1" x14ac:dyDescent="0.15">
      <c r="C35" s="31">
        <v>2</v>
      </c>
      <c r="D35" s="32">
        <f t="shared" ref="D35:D39" si="2">D36-1</f>
        <v>2015</v>
      </c>
      <c r="E35" s="31"/>
      <c r="F35" s="27">
        <v>25</v>
      </c>
      <c r="G35" s="27">
        <v>25</v>
      </c>
      <c r="H35" s="27">
        <v>25</v>
      </c>
      <c r="I35" s="27">
        <f t="shared" ca="1" si="0"/>
        <v>25</v>
      </c>
      <c r="K35" s="52">
        <v>3</v>
      </c>
      <c r="L35" s="80" t="str">
        <f>"Année de revenus "&amp;M35</f>
        <v>Année de revenus 2019</v>
      </c>
      <c r="M35" s="79">
        <f t="shared" ref="M35:M36" si="3">M34-1</f>
        <v>2019</v>
      </c>
      <c r="N35" s="52"/>
      <c r="O35" s="52"/>
      <c r="P35" s="52"/>
      <c r="Q35" s="52"/>
    </row>
    <row r="36" spans="2:17" ht="15" customHeight="1" x14ac:dyDescent="0.15">
      <c r="C36" s="31">
        <v>3</v>
      </c>
      <c r="D36" s="32">
        <f t="shared" si="2"/>
        <v>2016</v>
      </c>
      <c r="E36" s="31"/>
      <c r="F36" s="27">
        <v>26</v>
      </c>
      <c r="G36" s="27">
        <v>26</v>
      </c>
      <c r="H36" s="27">
        <v>26</v>
      </c>
      <c r="I36" s="27">
        <f t="shared" ca="1" si="0"/>
        <v>26</v>
      </c>
      <c r="K36" s="52">
        <v>4</v>
      </c>
      <c r="L36" s="80" t="str">
        <f>"Année de revenus "&amp;M36</f>
        <v>Année de revenus 2018</v>
      </c>
      <c r="M36" s="79">
        <f t="shared" si="3"/>
        <v>2018</v>
      </c>
      <c r="N36" s="52"/>
      <c r="O36" s="52"/>
      <c r="P36" s="52"/>
      <c r="Q36" s="52"/>
    </row>
    <row r="37" spans="2:17" ht="15" customHeight="1" x14ac:dyDescent="0.15">
      <c r="C37" s="31">
        <v>4</v>
      </c>
      <c r="D37" s="32">
        <f t="shared" si="2"/>
        <v>2017</v>
      </c>
      <c r="E37" s="31"/>
      <c r="F37" s="27">
        <v>27</v>
      </c>
      <c r="G37" s="27">
        <v>27</v>
      </c>
      <c r="H37" s="27">
        <v>27</v>
      </c>
      <c r="I37" s="27">
        <f t="shared" ca="1" si="0"/>
        <v>27</v>
      </c>
      <c r="K37" s="52"/>
      <c r="L37" s="52"/>
      <c r="M37" s="52"/>
      <c r="N37" s="52"/>
      <c r="O37" s="52"/>
      <c r="P37" s="52"/>
      <c r="Q37" s="52"/>
    </row>
    <row r="38" spans="2:17" ht="15" customHeight="1" x14ac:dyDescent="0.15">
      <c r="C38" s="31">
        <v>5</v>
      </c>
      <c r="D38" s="32">
        <f t="shared" si="2"/>
        <v>2018</v>
      </c>
      <c r="E38" s="31"/>
      <c r="F38" s="27">
        <v>28</v>
      </c>
      <c r="G38" s="27">
        <v>28</v>
      </c>
      <c r="H38" s="27">
        <v>28</v>
      </c>
      <c r="I38" s="27">
        <f t="shared" ca="1" si="0"/>
        <v>28</v>
      </c>
      <c r="K38" s="52"/>
      <c r="L38" s="80"/>
      <c r="M38" s="83">
        <f>M33</f>
        <v>2021</v>
      </c>
      <c r="N38" s="83">
        <f>M34</f>
        <v>2020</v>
      </c>
      <c r="O38" s="83">
        <f>M35</f>
        <v>2019</v>
      </c>
      <c r="P38" s="83">
        <f>M36</f>
        <v>2018</v>
      </c>
      <c r="Q38" s="79" t="s">
        <v>36</v>
      </c>
    </row>
    <row r="39" spans="2:17" ht="15" customHeight="1" x14ac:dyDescent="0.2">
      <c r="C39" s="31">
        <v>6</v>
      </c>
      <c r="D39" s="32">
        <f t="shared" si="2"/>
        <v>2019</v>
      </c>
      <c r="E39" s="31"/>
      <c r="F39" s="27">
        <v>29</v>
      </c>
      <c r="G39" s="27">
        <v>29</v>
      </c>
      <c r="H39" s="27">
        <v>29</v>
      </c>
      <c r="I39" s="27">
        <f t="shared" ca="1" si="0"/>
        <v>29</v>
      </c>
      <c r="K39" s="84">
        <f>HLOOKUP($L$32,$M$38:$P39,2,FALSE)</f>
        <v>1</v>
      </c>
      <c r="L39" s="80" t="s">
        <v>37</v>
      </c>
      <c r="M39" s="85">
        <f>IF(M38&lt;2018,0.75,IF(M38&lt;2020,$T$27,$M$4))</f>
        <v>1</v>
      </c>
      <c r="N39" s="85">
        <f>IF(N38&lt;2018,0.75,IF(N38&lt;2020,$T$27,$M$4))</f>
        <v>1</v>
      </c>
      <c r="O39" s="85">
        <f t="shared" ref="O39" si="4">IF(O38&lt;2018,0.75,IF(O38&lt;2020,$T$27,$M$4))</f>
        <v>1.2</v>
      </c>
      <c r="P39" s="85">
        <f>IF(P38&lt;2018,0.75,IF(P38&lt;2020,$T$27,$M$4))</f>
        <v>1.2</v>
      </c>
      <c r="Q39" s="52"/>
    </row>
    <row r="40" spans="2:17" ht="15" customHeight="1" x14ac:dyDescent="0.2">
      <c r="C40" s="31">
        <v>7</v>
      </c>
      <c r="D40" s="32">
        <f>D41-1</f>
        <v>2020</v>
      </c>
      <c r="E40" s="31"/>
      <c r="G40" s="27">
        <v>30</v>
      </c>
      <c r="H40" s="27">
        <v>30</v>
      </c>
      <c r="I40" s="27">
        <f t="shared" ca="1" si="0"/>
        <v>30</v>
      </c>
      <c r="K40" s="84">
        <f>HLOOKUP($L$32,$M$38:$P40,3,FALSE)</f>
        <v>1</v>
      </c>
      <c r="L40" s="80" t="s">
        <v>38</v>
      </c>
      <c r="M40" s="85">
        <f>IF(M38&lt;2020,$T$28,$L$4)</f>
        <v>1</v>
      </c>
      <c r="N40" s="85">
        <f t="shared" ref="N40:P40" si="5">IF(N38&lt;2020,$T$28,$L$4)</f>
        <v>1</v>
      </c>
      <c r="O40" s="85">
        <f t="shared" si="5"/>
        <v>1.2</v>
      </c>
      <c r="P40" s="85">
        <f t="shared" si="5"/>
        <v>1.2</v>
      </c>
    </row>
    <row r="41" spans="2:17" ht="15" customHeight="1" x14ac:dyDescent="0.2">
      <c r="C41" s="31">
        <v>8</v>
      </c>
      <c r="D41" s="32">
        <f>L32</f>
        <v>2021</v>
      </c>
      <c r="E41" s="31"/>
      <c r="H41" s="27">
        <v>31</v>
      </c>
      <c r="I41" s="27">
        <f t="shared" ca="1" si="0"/>
        <v>31</v>
      </c>
      <c r="K41" s="89">
        <f>HLOOKUP($L$32,$M$38:$P41,4,FALSE)</f>
        <v>84</v>
      </c>
      <c r="L41" s="80" t="s">
        <v>41</v>
      </c>
      <c r="M41" s="81">
        <v>84</v>
      </c>
      <c r="N41" s="81">
        <v>91</v>
      </c>
      <c r="O41" s="81">
        <v>88</v>
      </c>
      <c r="P41" s="81">
        <v>86</v>
      </c>
      <c r="Q41" s="47" t="s">
        <v>45</v>
      </c>
    </row>
    <row r="42" spans="2:17" ht="15" customHeight="1" x14ac:dyDescent="0.2">
      <c r="K42" s="89">
        <f>HLOOKUP($L$32,$M$38:$P42,5,FALSE)</f>
        <v>102</v>
      </c>
      <c r="L42" s="80" t="s">
        <v>42</v>
      </c>
      <c r="M42" s="81">
        <v>102</v>
      </c>
      <c r="N42" s="81">
        <v>111</v>
      </c>
      <c r="O42" s="81">
        <v>107</v>
      </c>
      <c r="P42" s="81">
        <v>105</v>
      </c>
    </row>
    <row r="43" spans="2:17" ht="15" customHeight="1" x14ac:dyDescent="0.2">
      <c r="B43" s="56" t="s">
        <v>5</v>
      </c>
      <c r="K43" s="90">
        <f>HLOOKUP($L$32,$M$38:$P43,6,FALSE)</f>
        <v>1370</v>
      </c>
      <c r="L43" s="80" t="s">
        <v>40</v>
      </c>
      <c r="M43" s="91">
        <v>1370</v>
      </c>
      <c r="N43" s="91">
        <v>1360</v>
      </c>
      <c r="O43" s="91">
        <v>1340</v>
      </c>
      <c r="P43" s="91">
        <v>1310</v>
      </c>
    </row>
    <row r="44" spans="2:17" ht="15" customHeight="1" x14ac:dyDescent="0.2">
      <c r="C44" s="46">
        <v>1</v>
      </c>
      <c r="D44" s="28" t="str">
        <f>VLOOKUP(C44,C45:D46,2)</f>
        <v>Oui</v>
      </c>
      <c r="K44" s="89">
        <f>HLOOKUP($L$32,$M$38:$P44,7,FALSE)</f>
        <v>44197</v>
      </c>
      <c r="L44" s="27" t="s">
        <v>44</v>
      </c>
      <c r="M44" s="27">
        <f>DATE(M33,1,1)</f>
        <v>44197</v>
      </c>
      <c r="N44" s="27">
        <f>M44-N46</f>
        <v>43831</v>
      </c>
      <c r="O44" s="27">
        <f>N44-O46</f>
        <v>43466</v>
      </c>
      <c r="P44" s="27">
        <f>O44-P46</f>
        <v>43101</v>
      </c>
    </row>
    <row r="45" spans="2:17" ht="15" customHeight="1" x14ac:dyDescent="0.2">
      <c r="C45" s="27">
        <v>1</v>
      </c>
      <c r="D45" s="28" t="s">
        <v>60</v>
      </c>
      <c r="K45" s="89">
        <f>HLOOKUP($L$32,$M$38:$P45,8,FALSE)</f>
        <v>44561</v>
      </c>
      <c r="L45" s="27" t="s">
        <v>46</v>
      </c>
      <c r="M45" s="27">
        <f>M44+M46-1</f>
        <v>44561</v>
      </c>
      <c r="N45" s="27">
        <f t="shared" ref="N45:P45" si="6">N44+N46-1</f>
        <v>44196</v>
      </c>
      <c r="O45" s="27">
        <f t="shared" si="6"/>
        <v>43830</v>
      </c>
      <c r="P45" s="27">
        <f t="shared" si="6"/>
        <v>43465</v>
      </c>
    </row>
    <row r="46" spans="2:17" ht="15" customHeight="1" x14ac:dyDescent="0.15">
      <c r="C46" s="27">
        <v>2</v>
      </c>
      <c r="D46" s="28" t="s">
        <v>61</v>
      </c>
      <c r="M46" s="48">
        <f>IF(INT(M38/4)=M38/4,366,365)</f>
        <v>365</v>
      </c>
      <c r="N46" s="48">
        <f>IF(INT(N38/4)=N38/4,366,365)</f>
        <v>366</v>
      </c>
      <c r="O46" s="48">
        <f>IF(INT(O38/4)=O38/4,366,365)</f>
        <v>365</v>
      </c>
      <c r="P46" s="48">
        <f>IF(INT(P38/4)=P38/4,366,365)</f>
        <v>365</v>
      </c>
      <c r="Q46" s="27" t="s">
        <v>43</v>
      </c>
    </row>
    <row r="48" spans="2:17" ht="15" customHeight="1" x14ac:dyDescent="0.15">
      <c r="B48" s="56" t="s">
        <v>21</v>
      </c>
      <c r="D48" s="28" t="s">
        <v>31</v>
      </c>
    </row>
    <row r="49" spans="1:4" ht="15" customHeight="1" x14ac:dyDescent="0.15">
      <c r="C49" s="46">
        <v>831</v>
      </c>
      <c r="D49" s="28">
        <f>IF('1'!$E$39&lt;43831,2022,2021)</f>
        <v>2021</v>
      </c>
    </row>
    <row r="51" spans="1:4" ht="15" customHeight="1" x14ac:dyDescent="0.15">
      <c r="A51" s="47" t="s">
        <v>30</v>
      </c>
      <c r="B51" s="47"/>
    </row>
  </sheetData>
  <sheetProtection algorithmName="SHA-512" hashValue="oLz3okAKEUJNHsb3CUKShlGhIwbfAMdP+aeSAU5KLbpOYgNG0NYcq6Nux4jPFuWblPED/6l10j0vK94dSDrL0g==" saltValue="gzv6V1Km5/3mAOxrb6VBDQ==" spinCount="100000" sheet="1" objects="1" scenarios="1"/>
  <mergeCells count="3">
    <mergeCell ref="C8:J8"/>
    <mergeCell ref="L25:P25"/>
    <mergeCell ref="K2:O2"/>
  </mergeCells>
  <conditionalFormatting sqref="L40">
    <cfRule type="cellIs" dxfId="3" priority="2" stopIfTrue="1" operator="equal">
      <formula>0</formula>
    </cfRule>
  </conditionalFormatting>
  <conditionalFormatting sqref="K32:M32 K34 K33:L33 Q38 L38:L39 L34:M36">
    <cfRule type="cellIs" dxfId="2" priority="4" stopIfTrue="1" operator="equal">
      <formula>0</formula>
    </cfRule>
  </conditionalFormatting>
  <conditionalFormatting sqref="M38:P38">
    <cfRule type="cellIs" dxfId="1" priority="3" stopIfTrue="1" operator="equal">
      <formula>0</formula>
    </cfRule>
  </conditionalFormatting>
  <conditionalFormatting sqref="L41:L43">
    <cfRule type="cellIs" dxfId="0" priority="1" stopIfTrue="1" operator="equal">
      <formula>0</formula>
    </cfRule>
  </conditionalFormatting>
  <pageMargins left="0.75" right="0.75" top="1" bottom="1" header="0.5" footer="0.5"/>
  <pageSetup paperSize="9" orientation="portrait" r:id="rId1"/>
  <headerFooter alignWithMargins="0">
    <oddHeader>&amp;C&amp;Z&amp;F</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2732C9B7C67544B918C3AC84BF2D92" ma:contentTypeVersion="13" ma:contentTypeDescription="Crée un document." ma:contentTypeScope="" ma:versionID="3377a44d5357aaea5420c39d44a34240">
  <xsd:schema xmlns:xsd="http://www.w3.org/2001/XMLSchema" xmlns:xs="http://www.w3.org/2001/XMLSchema" xmlns:p="http://schemas.microsoft.com/office/2006/metadata/properties" xmlns:ns3="ac217802-ad5e-451a-bc27-2c973f4b848e" xmlns:ns4="a9c9ba65-0ef1-44b3-8ee2-48738882e2b9" targetNamespace="http://schemas.microsoft.com/office/2006/metadata/properties" ma:root="true" ma:fieldsID="7178f8fef4b6a5278049f659bdb3fc85" ns3:_="" ns4:_="">
    <xsd:import namespace="ac217802-ad5e-451a-bc27-2c973f4b848e"/>
    <xsd:import namespace="a9c9ba65-0ef1-44b3-8ee2-48738882e2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17802-ad5e-451a-bc27-2c973f4b848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9ba65-0ef1-44b3-8ee2-48738882e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D6595D-75EE-4F86-9997-5CFDD391F581}">
  <ds:schemaRefs>
    <ds:schemaRef ds:uri="http://schemas.openxmlformats.org/package/2006/metadata/core-properties"/>
    <ds:schemaRef ds:uri="ac217802-ad5e-451a-bc27-2c973f4b848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a9c9ba65-0ef1-44b3-8ee2-48738882e2b9"/>
    <ds:schemaRef ds:uri="http://www.w3.org/XML/1998/namespace"/>
    <ds:schemaRef ds:uri="http://purl.org/dc/dcmitype/"/>
  </ds:schemaRefs>
</ds:datastoreItem>
</file>

<file path=customXml/itemProps2.xml><?xml version="1.0" encoding="utf-8"?>
<ds:datastoreItem xmlns:ds="http://schemas.openxmlformats.org/officeDocument/2006/customXml" ds:itemID="{47C1571A-EBB9-4DB1-9548-395D10FCC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17802-ad5e-451a-bc27-2c973f4b848e"/>
    <ds:schemaRef ds:uri="a9c9ba65-0ef1-44b3-8ee2-48738882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CD9E1-294B-45D3-8575-13DF4F280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Home</vt:lpstr>
      <vt:lpstr>1</vt:lpstr>
      <vt:lpstr>coot</vt:lpstr>
      <vt:lpstr>coot2</vt:lpstr>
      <vt:lpstr>dagen28</vt:lpstr>
      <vt:lpstr>dagen30</vt:lpstr>
      <vt:lpstr>dagen31</vt:lpstr>
      <vt:lpstr>'1'!Print_Area</vt:lpstr>
      <vt:lpstr>Home!Print_Area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Joeri VAN DEN BOSCH</cp:lastModifiedBy>
  <cp:lastPrinted>2020-04-28T12:29:41Z</cp:lastPrinted>
  <dcterms:created xsi:type="dcterms:W3CDTF">2011-03-21T06:44:21Z</dcterms:created>
  <dcterms:modified xsi:type="dcterms:W3CDTF">2021-01-04T09:01:35Z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0x0101005A2732C9B7C67544B918C3AC84BF2D92</vt:lpwstr>
  </property>
</Properties>
</file>