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showSheetTabs="0" xWindow="-120" yWindow="-120" windowWidth="29040" windowHeight="13176"/>
  </bookViews>
  <sheets>
    <sheet name="Home" sheetId="9" r:id="rId1"/>
    <sheet name="1" sheetId="11" r:id="rId2"/>
    <sheet name="calc" sheetId="12" state="veryHidden" r:id="rId3"/>
  </sheets>
  <externalReferences>
    <externalReference r:id="rId4"/>
  </externalReferences>
  <definedNames>
    <definedName name="coot">'1'!$E$8</definedName>
    <definedName name="coot2">'1'!$E$9</definedName>
    <definedName name="Dagen_invulveld">OFFSET(calc!$I$11,,,IF(calc!$E$10="dagen28",28+1*calc!$D$30,IF(calc!$E$10="dagen30",30,31)),)</definedName>
    <definedName name="dagen28">calc!$F$11:$F$39</definedName>
    <definedName name="dagen30">calc!$G$11:$G$40</definedName>
    <definedName name="dagen31">calc!$H$11:$H$41</definedName>
    <definedName name="weg">'[1]1'!$D$8</definedName>
    <definedName name="_xlnm.Print_Area" localSheetId="1">'1'!$A$1:$E$44</definedName>
    <definedName name="_xlnm.Print_Area" localSheetId="0">Home!$B$2:$S$25</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11" l="1"/>
  <c r="D23" i="11"/>
  <c r="D13" i="11" l="1"/>
  <c r="D8" i="11"/>
  <c r="E18" i="11" l="1"/>
  <c r="D49" i="12" s="1"/>
  <c r="B38" i="11" l="1"/>
  <c r="B37" i="11"/>
  <c r="K27" i="12"/>
  <c r="M28" i="12" s="1"/>
  <c r="K26" i="12"/>
  <c r="E37" i="11" l="1"/>
  <c r="Q28" i="12"/>
  <c r="L28" i="12"/>
  <c r="P28" i="12"/>
  <c r="O28" i="12"/>
  <c r="D21" i="11" l="1"/>
  <c r="E21" i="11"/>
  <c r="H4" i="12" l="1"/>
  <c r="L27" i="12" l="1"/>
  <c r="M27" i="12"/>
  <c r="K5" i="12"/>
  <c r="N7" i="12"/>
  <c r="Q27" i="12" l="1"/>
  <c r="O27" i="12"/>
  <c r="P27" i="12"/>
  <c r="E40" i="11" s="1"/>
  <c r="M4" i="12"/>
  <c r="E41" i="11" s="1"/>
  <c r="D41" i="11" s="1"/>
  <c r="L4" i="12"/>
  <c r="E38" i="11" s="1"/>
  <c r="D38" i="11" s="1"/>
  <c r="D33" i="12" l="1"/>
  <c r="B2" i="12" l="1"/>
  <c r="E12" i="11" s="1"/>
  <c r="C4" i="12" s="1"/>
  <c r="C6" i="12" s="1"/>
  <c r="D30" i="12"/>
  <c r="G11" i="11"/>
  <c r="B4" i="12" s="1"/>
  <c r="H11" i="11"/>
  <c r="E10" i="12"/>
  <c r="I18" i="12"/>
  <c r="B6" i="12" l="1"/>
  <c r="E22" i="11"/>
  <c r="D22" i="11"/>
  <c r="I21" i="12"/>
  <c r="I17" i="12"/>
  <c r="I28" i="12"/>
  <c r="I23" i="12"/>
  <c r="I27" i="12"/>
  <c r="I22" i="12"/>
  <c r="I36" i="12"/>
  <c r="I32" i="12"/>
  <c r="I16" i="12"/>
  <c r="I25" i="12"/>
  <c r="I15" i="12"/>
  <c r="I40" i="12"/>
  <c r="I14" i="12"/>
  <c r="I39" i="12"/>
  <c r="I29" i="12"/>
  <c r="I26" i="12"/>
  <c r="I11" i="12"/>
  <c r="I37" i="12"/>
  <c r="I33" i="12"/>
  <c r="I38" i="12"/>
  <c r="I31" i="12"/>
  <c r="I30" i="12"/>
  <c r="I13" i="12"/>
  <c r="I34" i="12"/>
  <c r="I24" i="12"/>
  <c r="I35" i="12"/>
  <c r="I41" i="12"/>
  <c r="I20" i="12"/>
  <c r="I19" i="12"/>
  <c r="I12" i="12"/>
  <c r="G12" i="11" l="1"/>
  <c r="D44" i="12"/>
  <c r="D10" i="12"/>
  <c r="J11" i="11" s="1"/>
  <c r="E20" i="11" s="1"/>
  <c r="E24" i="11"/>
  <c r="D24" i="11"/>
  <c r="E13" i="11" l="1"/>
  <c r="D4" i="12" s="1"/>
  <c r="D5" i="12" s="1"/>
  <c r="I11" i="11"/>
  <c r="D6" i="12" l="1"/>
  <c r="D20" i="11" s="1"/>
  <c r="D25" i="11" l="1"/>
  <c r="D26" i="11"/>
  <c r="E25" i="11"/>
  <c r="E26" i="11"/>
  <c r="D27" i="11" l="1"/>
  <c r="C27" i="11" l="1"/>
  <c r="E34" i="11"/>
  <c r="D28" i="11"/>
  <c r="D29" i="11" s="1"/>
  <c r="E33" i="11" s="1"/>
</calcChain>
</file>

<file path=xl/comments1.xml><?xml version="1.0" encoding="utf-8"?>
<comments xmlns="http://schemas.openxmlformats.org/spreadsheetml/2006/main">
  <authors>
    <author>Phi</author>
  </authors>
  <commentList>
    <comment ref="P23" authorId="0">
      <text>
        <r>
          <rPr>
            <b/>
            <sz val="8"/>
            <color indexed="8"/>
            <rFont val="Tahoma"/>
            <family val="2"/>
          </rPr>
          <t>© Indicator -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P24" authorId="0">
      <text>
        <r>
          <rPr>
            <b/>
            <sz val="8"/>
            <color indexed="8"/>
            <rFont val="Tahoma"/>
            <family val="2"/>
          </rPr>
          <t>Indicator - La rédaction veille à la fiabilité des informations lesquelles ne sauraient toutefois engager sa responsabilité.</t>
        </r>
      </text>
    </comment>
  </commentList>
</comments>
</file>

<file path=xl/comments2.xml><?xml version="1.0" encoding="utf-8"?>
<comments xmlns="http://schemas.openxmlformats.org/spreadsheetml/2006/main">
  <authors>
    <author>Philippe</author>
  </authors>
  <commentList>
    <comment ref="G6" authorId="0">
      <text>
        <r>
          <rPr>
            <sz val="8"/>
            <color indexed="45"/>
            <rFont val="Tahoma"/>
            <family val="2"/>
          </rPr>
          <t xml:space="preserve">Sont considérés comme des </t>
        </r>
        <r>
          <rPr>
            <b/>
            <u/>
            <sz val="8"/>
            <color indexed="45"/>
            <rFont val="Tahoma"/>
            <family val="2"/>
          </rPr>
          <t>"faux hybrides</t>
        </r>
        <r>
          <rPr>
            <sz val="8"/>
            <color indexed="45"/>
            <rFont val="Tahoma"/>
            <family val="2"/>
          </rPr>
          <t>": les plug-in hybrides soit dont la capacité de la batterie est limitée (moins de 0,5 kWh par 100 kilos de poids de la voiture) soit dont les émissions de CO2 dépassent 50 g/km.
Pour les "faux hybrides" achetés, commandés ou loués à partir du 1er janvier 2018 (signature du contrat/bon de commande), l'administration fiscale prendra en compte les émissions de CO2 du véhicule équivalente non hybride pour déterminer la déductibilité fiscale des frais de voiture à partir de l'exercice 2021 (lié à un exercice commençant au plus tôt le 1 janvier 2020) et pour déterminer l'avantage en nature voiture accordé à partir du 1er janvier 2020. S'il n'y a pas de modèle correspondant à moteur thermique, multipliez par 2,5 les émissions de CO2 officielles mentionnées sur le certificat d'immatriculation/certificat de conformité du "faux hybride".
Une voiture "</t>
        </r>
        <r>
          <rPr>
            <b/>
            <u/>
            <sz val="8"/>
            <color indexed="45"/>
            <rFont val="Tahoma"/>
            <family val="2"/>
          </rPr>
          <t>électrique</t>
        </r>
        <r>
          <rPr>
            <sz val="8"/>
            <color indexed="45"/>
            <rFont val="Tahoma"/>
            <family val="2"/>
          </rPr>
          <t>" est une voiture 100% électrique.</t>
        </r>
      </text>
    </comment>
    <comment ref="G10" authorId="0">
      <text>
        <r>
          <rPr>
            <sz val="8"/>
            <color indexed="45"/>
            <rFont val="Tahoma"/>
            <family val="2"/>
          </rPr>
          <t>La valeur que vous devez indiquer ici correspond au prix catalogue + options hors TVA + TVA réellement payée  (*)
(*) Un prix catalogue (ou un prix de "pack" d'options) temporairement baissé par le constructeur ou l'importateur n'est utilisé pour le calcul de l'avantage de toute nature que si ce prix est (temporairement) réellement repris par le constructeur ou l'importateur en tant que prix catalogue, dans sa liste de prix, et si ce prix réduit est également appliqué pour les ventes aux particuliers.
Une réduction accordée par un concessionnaire local ne peut pas non plus être déduite du prix catalogue.  
Exemple:
Prix catalogue HTVA: 25.000
Options HTVA: 2.500
Réduction (concessionnaire local): 1.500
TVA réellement payée: 21% sur (25.000+2.500-1.500) = 5.460
=&gt; valeur à indiquer: 25.000+2.500+5.460=32.960</t>
        </r>
      </text>
    </comment>
    <comment ref="G18" authorId="0">
      <text>
        <r>
          <rPr>
            <sz val="8"/>
            <color indexed="45"/>
            <rFont val="Tahoma"/>
            <family val="2"/>
          </rPr>
          <t>Pour l'impôt des personnes physiques, indiquer 01-01-2020.</t>
        </r>
      </text>
    </comment>
    <comment ref="G36" authorId="0">
      <text>
        <r>
          <rPr>
            <sz val="8"/>
            <color indexed="45"/>
            <rFont val="Tahoma"/>
            <family val="2"/>
          </rPr>
          <t>Ces pourentages valent pour tous les frais de voiture à l'exception des frais de mobilophonie et de financement (qui sont 100% déductibles).</t>
        </r>
      </text>
    </comment>
  </commentList>
</comments>
</file>

<file path=xl/sharedStrings.xml><?xml version="1.0" encoding="utf-8"?>
<sst xmlns="http://schemas.openxmlformats.org/spreadsheetml/2006/main" count="117" uniqueCount="92">
  <si>
    <t>Ç</t>
  </si>
  <si>
    <t>i</t>
  </si>
  <si>
    <t>Å</t>
  </si>
  <si>
    <t>Æ</t>
  </si>
  <si>
    <t>Diesel</t>
  </si>
  <si>
    <t>Tenlasteneming privé-brandstof</t>
  </si>
  <si>
    <t>dagen31</t>
  </si>
  <si>
    <t>dagen28</t>
  </si>
  <si>
    <t>dagen30</t>
  </si>
  <si>
    <t>Indirect-functie</t>
  </si>
  <si>
    <t>Inlevering in 2020</t>
  </si>
  <si>
    <t>&lt; 2014</t>
  </si>
  <si>
    <t>LPG</t>
  </si>
  <si>
    <t>Fiscale aftrekbaaheid</t>
  </si>
  <si>
    <r>
      <t>}</t>
    </r>
    <r>
      <rPr>
        <b/>
        <sz val="9"/>
        <color rgb="FF002060"/>
        <rFont val="Tahoma"/>
        <family val="2"/>
      </rPr>
      <t xml:space="preserve"> </t>
    </r>
    <r>
      <rPr>
        <b/>
        <u/>
        <sz val="8"/>
        <color rgb="FF002060"/>
        <rFont val="Tahoma"/>
        <family val="2"/>
      </rPr>
      <t>copyright</t>
    </r>
  </si>
  <si>
    <r>
      <t>}</t>
    </r>
    <r>
      <rPr>
        <b/>
        <sz val="9"/>
        <color rgb="FF002060"/>
        <rFont val="Tahoma"/>
        <family val="2"/>
      </rPr>
      <t xml:space="preserve"> </t>
    </r>
    <r>
      <rPr>
        <b/>
        <u/>
        <sz val="8"/>
        <color rgb="FF002060"/>
        <rFont val="Tahoma"/>
        <family val="2"/>
      </rPr>
      <t>disclaimer</t>
    </r>
  </si>
  <si>
    <t>Aanschaffing bedrijfswagen</t>
  </si>
  <si>
    <t>&lt; 2018</t>
  </si>
  <si>
    <t>Eerste inschrijving bij DIV</t>
  </si>
  <si>
    <t>Aanvang VAA</t>
  </si>
  <si>
    <t>eerste inschrijving DIV</t>
  </si>
  <si>
    <t xml:space="preserve">  # dagen</t>
  </si>
  <si>
    <t>Aanvangsdatum boekjaar AJ 2021:</t>
  </si>
  <si>
    <t>Vennootschap</t>
  </si>
  <si>
    <t>Eénmanszaak</t>
  </si>
  <si>
    <t>diesel</t>
  </si>
  <si>
    <t>benzine</t>
  </si>
  <si>
    <t>Type brandstof en co2</t>
  </si>
  <si>
    <t>Eenmanszaak</t>
  </si>
  <si>
    <t>Nieuwe regels</t>
  </si>
  <si>
    <t>FISCALE  AFTREKBAARHEID</t>
  </si>
  <si>
    <t>Vanaf VAA jaar 2022 kan je bij fiscale aftrekbaarhied opsplitsing per jaar laten vallen</t>
  </si>
  <si>
    <t>aanslagjaar venn. nieuwe regels</t>
  </si>
  <si>
    <t>Schrikkeljaar?:</t>
  </si>
  <si>
    <t>(nodig voor dagen feb.)</t>
  </si>
  <si>
    <t>Oude regels</t>
  </si>
  <si>
    <t>Mis à jour au 05.02.2020</t>
  </si>
  <si>
    <t>Calculez-le vous-même!</t>
  </si>
  <si>
    <r>
      <t>}</t>
    </r>
    <r>
      <rPr>
        <b/>
        <sz val="9"/>
        <color indexed="45"/>
        <rFont val="Tahoma"/>
        <family val="2"/>
      </rPr>
      <t xml:space="preserve"> cliquez </t>
    </r>
    <r>
      <rPr>
        <b/>
        <u/>
        <sz val="9"/>
        <color indexed="45"/>
        <rFont val="Tahoma"/>
        <family val="2"/>
      </rPr>
      <t>ici</t>
    </r>
  </si>
  <si>
    <t>Lefebvre Sarrut SA |Rue Haute 139 - Boite 6 | 1000 Bruxelles 
Adresse postale: Tiensesteenweg 306 | 3000 Louvain  | T 0800 39 067 | F 0800 39 068</t>
  </si>
  <si>
    <t>Avantage voiture - année de revenus 2020</t>
  </si>
  <si>
    <t>L'avantage de toute nature d'une voiture de société en 2020</t>
  </si>
  <si>
    <t>Valeur catalogue:</t>
  </si>
  <si>
    <t>Correction ancienneté du véhicule :</t>
  </si>
  <si>
    <t>Avantage exprimé en pourcentage:</t>
  </si>
  <si>
    <t>Soit, après application du facteur 6/7:</t>
  </si>
  <si>
    <t>Nombre de jours:</t>
  </si>
  <si>
    <r>
      <t>}</t>
    </r>
    <r>
      <rPr>
        <b/>
        <sz val="9"/>
        <color indexed="16"/>
        <rFont val="Tahoma"/>
        <family val="2"/>
      </rPr>
      <t xml:space="preserve"> Avantage imposable pour 2020</t>
    </r>
  </si>
  <si>
    <t>Total pour 2020:</t>
  </si>
  <si>
    <t>Référence (voiture, plaque, nom du chauffeur, …):</t>
  </si>
  <si>
    <t>Choisissez le type de carburant:</t>
  </si>
  <si>
    <r>
      <t>Indiquez l'émission de CO</t>
    </r>
    <r>
      <rPr>
        <vertAlign val="subscript"/>
        <sz val="9"/>
        <rFont val="Tahoma"/>
        <family val="2"/>
      </rPr>
      <t>2</t>
    </r>
    <r>
      <rPr>
        <sz val="9"/>
        <rFont val="Tahoma"/>
        <family val="2"/>
      </rPr>
      <t xml:space="preserve"> (en g/km):</t>
    </r>
  </si>
  <si>
    <r>
      <t xml:space="preserve">Indiquez la valeur catalogue </t>
    </r>
    <r>
      <rPr>
        <sz val="8"/>
        <rFont val="Tahoma"/>
        <family val="2"/>
      </rPr>
      <t xml:space="preserve">(options et TVA </t>
    </r>
    <r>
      <rPr>
        <u/>
        <sz val="8"/>
        <rFont val="Tahoma"/>
        <family val="2"/>
      </rPr>
      <t>payée</t>
    </r>
    <r>
      <rPr>
        <sz val="8"/>
        <rFont val="Tahoma"/>
        <family val="2"/>
      </rPr>
      <t xml:space="preserve"> incluses, mais hors remises)</t>
    </r>
    <r>
      <rPr>
        <sz val="9"/>
        <rFont val="Tahoma"/>
        <family val="2"/>
      </rPr>
      <t>:</t>
    </r>
  </si>
  <si>
    <t>Prise en charge partielle ou totale des frais de carburant privés par la société?</t>
  </si>
  <si>
    <r>
      <t>}</t>
    </r>
    <r>
      <rPr>
        <b/>
        <sz val="9"/>
        <color indexed="16"/>
        <rFont val="Tahoma"/>
        <family val="2"/>
      </rPr>
      <t xml:space="preserve"> Données </t>
    </r>
    <r>
      <rPr>
        <sz val="9"/>
        <color rgb="FFFF0000"/>
        <rFont val="Tahoma"/>
        <family val="2"/>
      </rPr>
      <t>(complétez les cases rouges)</t>
    </r>
  </si>
  <si>
    <t>Année d'achat, de prise en location ou en leasing:</t>
  </si>
  <si>
    <t>Jour, mois et année de la première inscription à la DIV:</t>
  </si>
  <si>
    <t>Contribution personnelle pour l'usage privé 2020:</t>
  </si>
  <si>
    <t>Date de début exercice comptable EI 2021:</t>
  </si>
  <si>
    <t>- Contribution personnelle pour l'usage privé 2020:</t>
  </si>
  <si>
    <t>Avantage de toute nature sur fiche:</t>
  </si>
  <si>
    <r>
      <t>}</t>
    </r>
    <r>
      <rPr>
        <b/>
        <sz val="9"/>
        <color indexed="16"/>
        <rFont val="Tahoma"/>
        <family val="2"/>
      </rPr>
      <t xml:space="preserve"> Résultat</t>
    </r>
  </si>
  <si>
    <t>Avantage de toute nature privé 2020:</t>
  </si>
  <si>
    <t>Dépenses non admises (code 1206) en société en 2020:</t>
  </si>
  <si>
    <r>
      <t>}</t>
    </r>
    <r>
      <rPr>
        <b/>
        <sz val="9"/>
        <color indexed="16"/>
        <rFont val="Tahoma"/>
        <family val="2"/>
      </rPr>
      <t xml:space="preserve"> Déductibilité fiscale des frais de voiture</t>
    </r>
  </si>
  <si>
    <t>Entreprise individuelle exercice d'imposition 2020:</t>
  </si>
  <si>
    <t>Entreprise individuelle à partir de l'exercice d'imposition 2021:</t>
  </si>
  <si>
    <t>(*) Les frais de mobilophonie et de financement sont déductibles à 100%</t>
  </si>
  <si>
    <r>
      <t>Émissions de CO</t>
    </r>
    <r>
      <rPr>
        <vertAlign val="subscript"/>
        <sz val="9"/>
        <rFont val="Tahoma"/>
        <family val="2"/>
      </rPr>
      <t xml:space="preserve">2 </t>
    </r>
    <r>
      <rPr>
        <sz val="9"/>
        <rFont val="Tahoma"/>
        <family val="2"/>
      </rPr>
      <t>de l'équivalent non hybride (g/km):</t>
    </r>
  </si>
  <si>
    <t>Date de début de la mise à disposition du véhicule à des fins privées:</t>
  </si>
  <si>
    <t>Carburant</t>
  </si>
  <si>
    <r>
      <t>Autres</t>
    </r>
    <r>
      <rPr>
        <b/>
        <i/>
        <sz val="9"/>
        <color theme="0"/>
        <rFont val="Tahoma"/>
        <family val="2"/>
      </rPr>
      <t xml:space="preserve"> (*)</t>
    </r>
  </si>
  <si>
    <t>Essence</t>
  </si>
  <si>
    <t>Électricité</t>
  </si>
  <si>
    <t>2018 ou plus tard</t>
  </si>
  <si>
    <t>janvier</t>
  </si>
  <si>
    <t>février</t>
  </si>
  <si>
    <t>mars</t>
  </si>
  <si>
    <t>avril</t>
  </si>
  <si>
    <t>mai</t>
  </si>
  <si>
    <t>juin</t>
  </si>
  <si>
    <t>juillet</t>
  </si>
  <si>
    <t>août</t>
  </si>
  <si>
    <t>septembre</t>
  </si>
  <si>
    <t>octobre</t>
  </si>
  <si>
    <t>novembre</t>
  </si>
  <si>
    <t>décembre</t>
  </si>
  <si>
    <t>Oui</t>
  </si>
  <si>
    <t>Non</t>
  </si>
  <si>
    <t>L'avantage est égal à [a] x [b] x [c] x [d]/366:</t>
  </si>
  <si>
    <t>CNG (gaz naturel) &lt; 12 cv</t>
  </si>
  <si>
    <t>CNG (gaz naturel) &gt;= 12 cv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</si>
</sst>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813]"/>
    <numFmt numFmtId="165" formatCode="0.000%"/>
    <numFmt numFmtId="166" formatCode="dd\/mm\/yyyy"/>
  </numFmts>
  <fonts count="59" x14ac:knownFonts="1">
    <font>
      <sz val="9"/>
      <color indexed="8"/>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sz val="12"/>
      <color indexed="19"/>
      <name val="Wingdings 3"/>
      <family val="1"/>
      <charset val="2"/>
    </font>
    <font>
      <sz val="9"/>
      <color indexed="16"/>
      <name val="tahoma"/>
      <family val="2"/>
    </font>
    <font>
      <b/>
      <sz val="12"/>
      <color indexed="16"/>
      <name val="Tahoma"/>
      <family val="2"/>
    </font>
    <font>
      <b/>
      <sz val="12"/>
      <color indexed="14"/>
      <name val="Tahoma"/>
      <family val="2"/>
    </font>
    <font>
      <b/>
      <sz val="9"/>
      <color indexed="45"/>
      <name val="Tahoma"/>
      <family val="2"/>
    </font>
    <font>
      <b/>
      <u/>
      <sz val="9"/>
      <color indexed="45"/>
      <name val="Tahoma"/>
      <family val="2"/>
    </font>
    <font>
      <b/>
      <sz val="9"/>
      <color indexed="45"/>
      <name val="Wingdings 3"/>
      <family val="1"/>
      <charset val="2"/>
    </font>
    <font>
      <u/>
      <sz val="9"/>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sz val="18"/>
      <color indexed="14"/>
      <name val="tahoma"/>
      <family val="2"/>
    </font>
    <font>
      <b/>
      <sz val="9"/>
      <color indexed="14"/>
      <name val="Wingdings 3"/>
      <family val="1"/>
      <charset val="2"/>
    </font>
    <font>
      <b/>
      <sz val="9"/>
      <color indexed="16"/>
      <name val="Tahoma"/>
      <family val="2"/>
    </font>
    <font>
      <sz val="18"/>
      <name val="tahoma"/>
      <family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b/>
      <sz val="8"/>
      <color indexed="14"/>
      <name val="Tahoma"/>
      <family val="2"/>
    </font>
    <font>
      <sz val="7"/>
      <color indexed="47"/>
      <name val="Small Fonts"/>
      <family val="2"/>
    </font>
    <font>
      <sz val="7"/>
      <color indexed="14"/>
      <name val="Small Fonts"/>
      <family val="2"/>
    </font>
    <font>
      <u/>
      <sz val="8"/>
      <name val="Tahoma"/>
      <family val="2"/>
    </font>
    <font>
      <sz val="14"/>
      <color indexed="45"/>
      <name val="Webdings"/>
      <family val="1"/>
      <charset val="2"/>
    </font>
    <font>
      <sz val="8"/>
      <color theme="1"/>
      <name val="Arial Narrow"/>
      <family val="2"/>
    </font>
    <font>
      <sz val="11"/>
      <color theme="1"/>
      <name val="Arial Narrow"/>
      <family val="2"/>
    </font>
    <font>
      <b/>
      <sz val="9"/>
      <color rgb="FFFF0000"/>
      <name val="Tahoma"/>
      <family val="2"/>
    </font>
    <font>
      <sz val="8"/>
      <color rgb="FF000000"/>
      <name val="Tahoma"/>
      <family val="2"/>
    </font>
    <font>
      <sz val="8"/>
      <color rgb="FFFF0000"/>
      <name val="Arial Narrow"/>
      <family val="2"/>
    </font>
    <font>
      <b/>
      <u/>
      <sz val="8"/>
      <color indexed="45"/>
      <name val="Tahoma"/>
      <family val="2"/>
    </font>
    <font>
      <b/>
      <sz val="8"/>
      <color rgb="FF660066"/>
      <name val="Tahoma"/>
      <family val="2"/>
    </font>
    <font>
      <b/>
      <sz val="12"/>
      <color rgb="FF00008F"/>
      <name val="Tahoma"/>
      <family val="2"/>
    </font>
    <font>
      <b/>
      <sz val="8"/>
      <color rgb="FF002060"/>
      <name val="Tahoma"/>
      <family val="2"/>
    </font>
    <font>
      <b/>
      <sz val="9"/>
      <color rgb="FF002060"/>
      <name val="Wingdings 3"/>
      <family val="1"/>
      <charset val="2"/>
    </font>
    <font>
      <b/>
      <sz val="9"/>
      <color rgb="FF002060"/>
      <name val="Tahoma"/>
      <family val="2"/>
    </font>
    <font>
      <b/>
      <u/>
      <sz val="8"/>
      <color rgb="FF002060"/>
      <name val="Tahoma"/>
      <family val="2"/>
    </font>
    <font>
      <b/>
      <sz val="8"/>
      <color rgb="FF002060"/>
      <name val="Wingdings 3"/>
      <family val="1"/>
      <charset val="2"/>
    </font>
    <font>
      <b/>
      <sz val="8"/>
      <color indexed="8"/>
      <name val="Tahoma"/>
      <family val="2"/>
    </font>
    <font>
      <b/>
      <sz val="9"/>
      <color theme="0"/>
      <name val="Tahoma"/>
      <family val="2"/>
    </font>
    <font>
      <sz val="9"/>
      <color rgb="FFFF0000"/>
      <name val="Tahoma"/>
      <family val="2"/>
    </font>
    <font>
      <u/>
      <sz val="11"/>
      <color theme="1"/>
      <name val="Arial Narrow"/>
      <family val="2"/>
    </font>
    <font>
      <u/>
      <sz val="8"/>
      <color theme="1"/>
      <name val="Arial Narrow"/>
      <family val="2"/>
    </font>
    <font>
      <sz val="14"/>
      <color theme="1"/>
      <name val="Arial Narrow"/>
      <family val="2"/>
    </font>
    <font>
      <b/>
      <u/>
      <sz val="8"/>
      <color theme="1"/>
      <name val="Arial Narrow"/>
      <family val="2"/>
    </font>
    <font>
      <b/>
      <u/>
      <sz val="12"/>
      <color theme="1"/>
      <name val="Arial"/>
      <family val="2"/>
    </font>
    <font>
      <i/>
      <sz val="9"/>
      <color rgb="FFFF0000"/>
      <name val="Tahoma"/>
      <family val="2"/>
    </font>
    <font>
      <b/>
      <sz val="10"/>
      <color indexed="45"/>
      <name val="Tahoma"/>
      <family val="2"/>
    </font>
    <font>
      <sz val="8"/>
      <color indexed="45"/>
      <name val="Tahoma"/>
      <family val="2"/>
    </font>
    <font>
      <b/>
      <i/>
      <sz val="9"/>
      <color theme="0"/>
      <name val="Tahoma"/>
      <family val="2"/>
    </font>
    <font>
      <i/>
      <sz val="9"/>
      <color theme="0" tint="-0.499984740745262"/>
      <name val="Tahoma"/>
      <family val="2"/>
    </font>
  </fonts>
  <fills count="20">
    <fill>
      <patternFill patternType="none"/>
    </fill>
    <fill>
      <patternFill patternType="gray125"/>
    </fill>
    <fill>
      <patternFill patternType="solid">
        <fgColor indexed="45"/>
        <bgColor indexed="64"/>
      </patternFill>
    </fill>
    <fill>
      <patternFill patternType="lightGray">
        <fgColor indexed="19"/>
        <bgColor indexed="8"/>
      </patternFill>
    </fill>
    <fill>
      <patternFill patternType="solid">
        <fgColor indexed="8"/>
        <bgColor indexed="64"/>
      </patternFill>
    </fill>
    <fill>
      <patternFill patternType="solid">
        <fgColor indexed="16"/>
        <bgColor indexed="64"/>
      </patternFill>
    </fill>
    <fill>
      <patternFill patternType="mediumGray">
        <fgColor indexed="8"/>
        <bgColor indexed="16"/>
      </patternFill>
    </fill>
    <fill>
      <patternFill patternType="solid">
        <fgColor indexed="47"/>
        <bgColor indexed="64"/>
      </patternFill>
    </fill>
    <fill>
      <patternFill patternType="solid">
        <fgColor indexed="14"/>
        <bgColor indexed="64"/>
      </patternFill>
    </fill>
    <fill>
      <patternFill patternType="solid">
        <fgColor indexed="19"/>
        <bgColor indexed="64"/>
      </patternFill>
    </fill>
    <fill>
      <patternFill patternType="solid">
        <fgColor indexed="47"/>
        <bgColor indexed="47"/>
      </patternFill>
    </fill>
    <fill>
      <patternFill patternType="solid">
        <fgColor indexed="43"/>
        <bgColor indexed="64"/>
      </patternFill>
    </fill>
    <fill>
      <patternFill patternType="solid">
        <fgColor indexed="14"/>
        <bgColor indexed="47"/>
      </patternFill>
    </fill>
    <fill>
      <patternFill patternType="solid">
        <fgColor indexed="47"/>
        <bgColor theme="1"/>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1918C"/>
        <bgColor indexed="64"/>
      </patternFill>
    </fill>
    <fill>
      <patternFill patternType="solid">
        <fgColor theme="4" tint="0.79998168889431442"/>
        <bgColor indexed="21"/>
      </patternFill>
    </fill>
    <fill>
      <patternFill patternType="solid">
        <fgColor theme="4" tint="0.79998168889431442"/>
        <bgColor indexed="8"/>
      </patternFill>
    </fill>
  </fills>
  <borders count="12">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5" fillId="2" borderId="1" applyNumberFormat="0" applyFont="0" applyFill="0" applyBorder="0" applyAlignment="0" applyProtection="0">
      <alignment horizontal="center" vertical="center"/>
      <protection hidden="1"/>
    </xf>
    <xf numFmtId="9" fontId="2" fillId="0" borderId="0" applyFont="0" applyFill="0" applyBorder="0" applyAlignment="0" applyProtection="0"/>
    <xf numFmtId="0" fontId="4" fillId="0" borderId="0">
      <alignment vertical="center"/>
    </xf>
    <xf numFmtId="0" fontId="3" fillId="0" borderId="0">
      <alignment vertical="center"/>
    </xf>
  </cellStyleXfs>
  <cellXfs count="114">
    <xf numFmtId="0" fontId="0" fillId="0" borderId="0" xfId="0">
      <alignment vertical="center"/>
    </xf>
    <xf numFmtId="0" fontId="7" fillId="3" borderId="0" xfId="0" applyFont="1" applyFill="1">
      <alignment vertical="center"/>
    </xf>
    <xf numFmtId="0" fontId="0" fillId="4" borderId="0" xfId="0" applyFill="1">
      <alignment vertical="center"/>
    </xf>
    <xf numFmtId="0" fontId="8" fillId="0" borderId="0" xfId="0" applyFont="1" applyAlignment="1">
      <alignment horizontal="left" vertical="top" indent="3"/>
    </xf>
    <xf numFmtId="0" fontId="9" fillId="0" borderId="0" xfId="0" applyFont="1" applyAlignment="1">
      <alignment horizontal="left" vertical="top" indent="3"/>
    </xf>
    <xf numFmtId="0" fontId="6" fillId="0" borderId="0" xfId="0" applyFont="1" applyAlignment="1">
      <alignment vertical="top"/>
    </xf>
    <xf numFmtId="0" fontId="13" fillId="0" borderId="0" xfId="0" applyFont="1">
      <alignment vertical="center"/>
    </xf>
    <xf numFmtId="0" fontId="14" fillId="5" borderId="2" xfId="1" applyFont="1" applyFill="1" applyBorder="1">
      <alignment horizontal="center" vertical="center"/>
      <protection hidden="1"/>
    </xf>
    <xf numFmtId="0" fontId="15" fillId="6" borderId="2" xfId="0" applyFont="1" applyFill="1" applyBorder="1" applyAlignment="1" applyProtection="1">
      <alignment horizontal="center" vertical="center"/>
      <protection hidden="1"/>
    </xf>
    <xf numFmtId="0" fontId="16" fillId="6" borderId="2" xfId="0" applyFont="1" applyFill="1" applyBorder="1" applyAlignment="1" applyProtection="1">
      <alignment horizontal="center" vertical="center"/>
      <protection hidden="1"/>
    </xf>
    <xf numFmtId="0" fontId="19" fillId="0" borderId="0" xfId="0" applyFont="1" applyProtection="1">
      <alignment vertical="center"/>
      <protection hidden="1"/>
    </xf>
    <xf numFmtId="0" fontId="22" fillId="0" borderId="0" xfId="0" applyFont="1" applyProtection="1">
      <alignment vertical="center"/>
      <protection hidden="1"/>
    </xf>
    <xf numFmtId="0" fontId="4" fillId="7" borderId="0" xfId="0" applyFont="1" applyFill="1" applyProtection="1">
      <alignment vertical="center"/>
      <protection hidden="1"/>
    </xf>
    <xf numFmtId="0" fontId="0" fillId="7" borderId="0" xfId="0" applyFill="1" applyProtection="1">
      <alignment vertical="center"/>
      <protection hidden="1"/>
    </xf>
    <xf numFmtId="0" fontId="17" fillId="7" borderId="0" xfId="0" applyFont="1" applyFill="1" applyProtection="1">
      <alignment vertical="center"/>
      <protection hidden="1"/>
    </xf>
    <xf numFmtId="0" fontId="4" fillId="0" borderId="0" xfId="0" applyFont="1" applyProtection="1">
      <alignment vertical="center"/>
      <protection hidden="1"/>
    </xf>
    <xf numFmtId="0" fontId="3" fillId="0" borderId="0" xfId="0" applyFont="1" applyProtection="1">
      <alignment vertical="center"/>
      <protection hidden="1"/>
    </xf>
    <xf numFmtId="0" fontId="18" fillId="0" borderId="0" xfId="0" applyFont="1" applyAlignment="1" applyProtection="1">
      <alignment horizontal="left" vertical="center" indent="2"/>
      <protection hidden="1"/>
    </xf>
    <xf numFmtId="0" fontId="21" fillId="0" borderId="0" xfId="0" applyFont="1" applyProtection="1">
      <alignment vertical="center"/>
      <protection hidden="1"/>
    </xf>
    <xf numFmtId="0" fontId="4" fillId="0" borderId="0" xfId="0" applyFont="1" applyAlignment="1" applyProtection="1">
      <alignment horizontal="left" vertical="center" indent="1"/>
      <protection hidden="1"/>
    </xf>
    <xf numFmtId="0" fontId="10" fillId="5" borderId="3" xfId="0" applyFont="1" applyFill="1" applyBorder="1" applyAlignment="1" applyProtection="1">
      <alignment horizontal="center" vertical="center"/>
      <protection hidden="1"/>
    </xf>
    <xf numFmtId="0" fontId="23" fillId="8" borderId="3" xfId="0" applyFont="1" applyFill="1" applyBorder="1" applyAlignment="1" applyProtection="1">
      <alignment horizontal="right" vertical="center"/>
      <protection locked="0" hidden="1"/>
    </xf>
    <xf numFmtId="164" fontId="23" fillId="8" borderId="3" xfId="0" applyNumberFormat="1" applyFont="1" applyFill="1" applyBorder="1" applyProtection="1">
      <alignment vertical="center"/>
      <protection locked="0" hidden="1"/>
    </xf>
    <xf numFmtId="164" fontId="23" fillId="5" borderId="3" xfId="0" applyNumberFormat="1" applyFont="1" applyFill="1" applyBorder="1" applyProtection="1">
      <alignment vertical="center"/>
      <protection hidden="1"/>
    </xf>
    <xf numFmtId="0" fontId="26" fillId="0" borderId="0" xfId="0" applyFont="1" applyProtection="1">
      <alignment vertical="center"/>
      <protection hidden="1"/>
    </xf>
    <xf numFmtId="0" fontId="27" fillId="7" borderId="0" xfId="0" applyFont="1" applyFill="1" applyProtection="1">
      <alignment vertical="center"/>
      <protection hidden="1"/>
    </xf>
    <xf numFmtId="0" fontId="28" fillId="0" borderId="0" xfId="0" applyFont="1" applyAlignment="1" applyProtection="1">
      <alignment horizontal="center" vertical="center" wrapText="1"/>
      <protection hidden="1"/>
    </xf>
    <xf numFmtId="0" fontId="25" fillId="0" borderId="0" xfId="0" applyFont="1" applyAlignment="1" applyProtection="1">
      <alignment horizontal="right" vertical="center"/>
      <protection hidden="1"/>
    </xf>
    <xf numFmtId="49" fontId="25" fillId="0" borderId="0" xfId="0" applyNumberFormat="1" applyFont="1" applyAlignment="1" applyProtection="1">
      <alignment horizontal="right" vertical="center"/>
      <protection hidden="1"/>
    </xf>
    <xf numFmtId="0" fontId="29" fillId="7" borderId="0" xfId="0" applyFont="1" applyFill="1" applyProtection="1">
      <alignment vertical="center"/>
      <protection hidden="1"/>
    </xf>
    <xf numFmtId="0" fontId="29" fillId="10" borderId="0" xfId="0" applyFont="1" applyFill="1" applyProtection="1">
      <alignment vertical="center"/>
      <protection hidden="1"/>
    </xf>
    <xf numFmtId="164" fontId="4" fillId="11" borderId="3" xfId="0" applyNumberFormat="1" applyFont="1" applyFill="1" applyBorder="1" applyAlignment="1" applyProtection="1">
      <alignment horizontal="right" vertical="center"/>
      <protection hidden="1"/>
    </xf>
    <xf numFmtId="0" fontId="30" fillId="0" borderId="4" xfId="0" applyFont="1" applyBorder="1" applyAlignment="1" applyProtection="1">
      <alignment horizontal="center" vertical="top"/>
      <protection hidden="1"/>
    </xf>
    <xf numFmtId="0" fontId="30" fillId="0" borderId="0" xfId="0" applyFont="1" applyAlignment="1" applyProtection="1">
      <alignment horizontal="center" vertical="top"/>
      <protection hidden="1"/>
    </xf>
    <xf numFmtId="0" fontId="32" fillId="12" borderId="0" xfId="0" applyFont="1" applyFill="1" applyAlignment="1" applyProtection="1">
      <alignment horizontal="center" vertical="center"/>
      <protection hidden="1"/>
    </xf>
    <xf numFmtId="164" fontId="23" fillId="0" borderId="3" xfId="0" applyNumberFormat="1" applyFont="1" applyBorder="1" applyProtection="1">
      <alignment vertical="center"/>
      <protection hidden="1"/>
    </xf>
    <xf numFmtId="0" fontId="33" fillId="0" borderId="0" xfId="0" applyFont="1" applyProtection="1">
      <alignment vertical="center"/>
      <protection hidden="1"/>
    </xf>
    <xf numFmtId="0" fontId="33" fillId="0" borderId="0" xfId="0" applyFont="1" applyAlignment="1" applyProtection="1">
      <alignment horizontal="right" vertical="center"/>
      <protection hidden="1"/>
    </xf>
    <xf numFmtId="9" fontId="33" fillId="0" borderId="0" xfId="0" applyNumberFormat="1" applyFont="1" applyProtection="1">
      <alignment vertical="center"/>
      <protection hidden="1"/>
    </xf>
    <xf numFmtId="3" fontId="33" fillId="0" borderId="0" xfId="0" applyNumberFormat="1" applyFont="1" applyProtection="1">
      <alignment vertical="center"/>
      <protection hidden="1"/>
    </xf>
    <xf numFmtId="0" fontId="34" fillId="0" borderId="0" xfId="0" applyFont="1" applyProtection="1">
      <alignment vertical="center"/>
      <protection hidden="1"/>
    </xf>
    <xf numFmtId="0" fontId="34" fillId="0" borderId="0" xfId="0" applyFont="1" applyAlignment="1" applyProtection="1">
      <alignment horizontal="right" vertical="center"/>
      <protection hidden="1"/>
    </xf>
    <xf numFmtId="0" fontId="29" fillId="13" borderId="0" xfId="0" applyFont="1" applyFill="1" applyProtection="1">
      <alignment vertical="center"/>
      <protection hidden="1"/>
    </xf>
    <xf numFmtId="164" fontId="10" fillId="9" borderId="3" xfId="2" applyNumberFormat="1" applyFont="1" applyFill="1" applyBorder="1" applyAlignment="1" applyProtection="1">
      <alignment vertical="center"/>
      <protection hidden="1"/>
    </xf>
    <xf numFmtId="9" fontId="10" fillId="9" borderId="3" xfId="2" applyFont="1" applyFill="1" applyBorder="1" applyAlignment="1" applyProtection="1">
      <alignment vertical="center"/>
      <protection hidden="1"/>
    </xf>
    <xf numFmtId="10" fontId="10" fillId="9" borderId="3" xfId="2" applyNumberFormat="1" applyFont="1" applyFill="1" applyBorder="1" applyAlignment="1" applyProtection="1">
      <alignment vertical="center"/>
      <protection hidden="1"/>
    </xf>
    <xf numFmtId="3" fontId="10" fillId="9" borderId="3" xfId="2" applyNumberFormat="1" applyFont="1" applyFill="1" applyBorder="1" applyAlignment="1" applyProtection="1">
      <alignment vertical="center"/>
      <protection hidden="1"/>
    </xf>
    <xf numFmtId="9" fontId="33" fillId="0" borderId="0" xfId="2" applyFont="1" applyAlignment="1" applyProtection="1">
      <alignment vertical="center"/>
      <protection hidden="1"/>
    </xf>
    <xf numFmtId="0" fontId="35" fillId="0" borderId="0" xfId="0" applyFont="1" applyAlignment="1">
      <alignment horizontal="right"/>
    </xf>
    <xf numFmtId="0" fontId="0" fillId="14" borderId="0" xfId="0" applyFill="1">
      <alignment vertical="center"/>
    </xf>
    <xf numFmtId="14" fontId="33" fillId="0" borderId="0" xfId="0" applyNumberFormat="1" applyFont="1" applyProtection="1">
      <alignment vertical="center"/>
      <protection hidden="1"/>
    </xf>
    <xf numFmtId="3" fontId="10" fillId="9" borderId="6" xfId="0" applyNumberFormat="1" applyFont="1" applyFill="1" applyBorder="1" applyProtection="1">
      <alignment vertical="center"/>
      <protection hidden="1"/>
    </xf>
    <xf numFmtId="164" fontId="23" fillId="5" borderId="6" xfId="0" applyNumberFormat="1" applyFont="1" applyFill="1" applyBorder="1" applyProtection="1">
      <alignment vertical="center"/>
      <protection hidden="1"/>
    </xf>
    <xf numFmtId="0" fontId="30" fillId="0" borderId="0" xfId="0" applyFont="1" applyAlignment="1" applyProtection="1">
      <alignment horizontal="right" vertical="center"/>
      <protection hidden="1"/>
    </xf>
    <xf numFmtId="0" fontId="29" fillId="10" borderId="0" xfId="0" applyFont="1" applyFill="1" applyProtection="1">
      <alignment vertical="center"/>
      <protection locked="0" hidden="1"/>
    </xf>
    <xf numFmtId="0" fontId="34" fillId="16" borderId="0" xfId="0" applyFont="1" applyFill="1" applyProtection="1">
      <alignment vertical="center"/>
      <protection hidden="1"/>
    </xf>
    <xf numFmtId="14" fontId="33" fillId="16" borderId="0" xfId="0" applyNumberFormat="1" applyFont="1" applyFill="1" applyProtection="1">
      <alignment vertical="center"/>
      <protection hidden="1"/>
    </xf>
    <xf numFmtId="0" fontId="34" fillId="15" borderId="0" xfId="0" applyFont="1" applyFill="1" applyProtection="1">
      <alignment vertical="center"/>
      <protection locked="0" hidden="1"/>
    </xf>
    <xf numFmtId="0" fontId="37" fillId="0" borderId="0" xfId="0" applyFont="1" applyProtection="1">
      <alignment vertical="center"/>
      <protection hidden="1"/>
    </xf>
    <xf numFmtId="0" fontId="33" fillId="0" borderId="0" xfId="0" applyFont="1" applyFill="1" applyAlignment="1" applyProtection="1">
      <alignment horizontal="right" vertical="center"/>
      <protection hidden="1"/>
    </xf>
    <xf numFmtId="0" fontId="33" fillId="0" borderId="0" xfId="2" applyNumberFormat="1" applyFont="1" applyFill="1" applyAlignment="1" applyProtection="1">
      <alignment vertical="center"/>
      <protection hidden="1"/>
    </xf>
    <xf numFmtId="0" fontId="33" fillId="0" borderId="0" xfId="0" applyNumberFormat="1" applyFont="1" applyFill="1" applyProtection="1">
      <alignment vertical="center"/>
      <protection hidden="1"/>
    </xf>
    <xf numFmtId="0" fontId="32" fillId="12" borderId="0" xfId="0" applyFont="1" applyFill="1" applyBorder="1" applyAlignment="1" applyProtection="1">
      <alignment horizontal="center" vertical="center"/>
      <protection hidden="1"/>
    </xf>
    <xf numFmtId="0" fontId="33" fillId="0" borderId="0" xfId="0" applyFont="1" applyFill="1" applyProtection="1">
      <alignment vertical="center"/>
      <protection hidden="1"/>
    </xf>
    <xf numFmtId="10" fontId="33" fillId="0" borderId="0" xfId="0" applyNumberFormat="1" applyFont="1" applyProtection="1">
      <alignment vertical="center"/>
      <protection hidden="1"/>
    </xf>
    <xf numFmtId="0" fontId="0" fillId="0" borderId="0" xfId="0" applyFill="1" applyBorder="1" applyAlignment="1">
      <alignment vertical="center"/>
    </xf>
    <xf numFmtId="0" fontId="0" fillId="0" borderId="0" xfId="0" applyAlignment="1" applyProtection="1">
      <alignment vertical="center"/>
      <protection hidden="1"/>
    </xf>
    <xf numFmtId="0" fontId="34" fillId="0" borderId="0" xfId="0" applyFont="1" applyFill="1" applyAlignment="1" applyProtection="1">
      <alignment horizontal="right" vertical="center"/>
      <protection hidden="1"/>
    </xf>
    <xf numFmtId="0" fontId="33" fillId="0" borderId="0" xfId="0" quotePrefix="1" applyFont="1" applyFill="1" applyAlignment="1" applyProtection="1">
      <alignment horizontal="right" vertical="center"/>
      <protection hidden="1"/>
    </xf>
    <xf numFmtId="0" fontId="33" fillId="0" borderId="0" xfId="0" applyFont="1" applyAlignment="1" applyProtection="1">
      <alignment horizontal="center" vertical="center"/>
      <protection hidden="1"/>
    </xf>
    <xf numFmtId="0" fontId="50" fillId="0" borderId="0" xfId="0" applyFont="1" applyProtection="1">
      <alignment vertical="center"/>
      <protection hidden="1"/>
    </xf>
    <xf numFmtId="0" fontId="1" fillId="0" borderId="0" xfId="3" applyFont="1" applyFill="1">
      <alignment vertical="center"/>
    </xf>
    <xf numFmtId="0" fontId="1" fillId="0" borderId="0" xfId="3" applyFont="1" applyFill="1" applyAlignment="1">
      <alignment horizontal="right" vertical="center"/>
    </xf>
    <xf numFmtId="0" fontId="23" fillId="8" borderId="3" xfId="0" applyFont="1" applyFill="1" applyBorder="1" applyAlignment="1" applyProtection="1">
      <alignment horizontal="right" vertical="center"/>
      <protection hidden="1"/>
    </xf>
    <xf numFmtId="14" fontId="33" fillId="0" borderId="0" xfId="0" applyNumberFormat="1" applyFont="1" applyAlignment="1" applyProtection="1">
      <alignment horizontal="right" vertical="center"/>
      <protection hidden="1"/>
    </xf>
    <xf numFmtId="0" fontId="33" fillId="0" borderId="0" xfId="0" quotePrefix="1" applyFont="1" applyAlignment="1" applyProtection="1">
      <alignment horizontal="right" vertical="center"/>
      <protection hidden="1"/>
    </xf>
    <xf numFmtId="0" fontId="33" fillId="0" borderId="0" xfId="0" quotePrefix="1" applyFont="1" applyAlignment="1" applyProtection="1">
      <alignment horizontal="left" vertical="center"/>
      <protection hidden="1"/>
    </xf>
    <xf numFmtId="0" fontId="51" fillId="0" borderId="7" xfId="0" applyFont="1" applyBorder="1" applyProtection="1">
      <alignment vertical="center"/>
      <protection hidden="1"/>
    </xf>
    <xf numFmtId="0" fontId="33" fillId="0" borderId="0" xfId="0" quotePrefix="1" applyFont="1" applyAlignment="1" applyProtection="1">
      <alignment horizontal="center" vertical="center"/>
      <protection hidden="1"/>
    </xf>
    <xf numFmtId="0" fontId="51" fillId="0" borderId="0" xfId="0" applyFont="1" applyBorder="1" applyProtection="1">
      <alignment vertical="center"/>
      <protection hidden="1"/>
    </xf>
    <xf numFmtId="0" fontId="4" fillId="0" borderId="0" xfId="0" quotePrefix="1" applyFont="1" applyAlignment="1" applyProtection="1">
      <alignment horizontal="left" vertical="center" indent="1"/>
      <protection hidden="1"/>
    </xf>
    <xf numFmtId="0" fontId="4" fillId="0" borderId="0" xfId="0" applyFont="1" applyAlignment="1" applyProtection="1">
      <alignment horizontal="left" vertical="center" indent="2"/>
      <protection hidden="1"/>
    </xf>
    <xf numFmtId="164" fontId="23" fillId="8" borderId="3" xfId="0" applyNumberFormat="1" applyFont="1" applyFill="1" applyBorder="1" applyProtection="1">
      <alignment vertical="center"/>
      <protection locked="0"/>
    </xf>
    <xf numFmtId="9" fontId="33" fillId="0" borderId="0" xfId="0" applyNumberFormat="1" applyFont="1" applyFill="1" applyProtection="1">
      <alignment vertical="center"/>
      <protection hidden="1"/>
    </xf>
    <xf numFmtId="0" fontId="50" fillId="0" borderId="0" xfId="0" applyFont="1" applyFill="1" applyProtection="1">
      <alignment vertical="center"/>
      <protection hidden="1"/>
    </xf>
    <xf numFmtId="3" fontId="33" fillId="0" borderId="8" xfId="0" applyNumberFormat="1" applyFont="1" applyFill="1" applyBorder="1" applyProtection="1">
      <alignment vertical="center"/>
      <protection hidden="1"/>
    </xf>
    <xf numFmtId="9" fontId="33" fillId="0" borderId="0" xfId="2" applyFont="1" applyFill="1" applyAlignment="1" applyProtection="1">
      <alignment vertical="center"/>
      <protection hidden="1"/>
    </xf>
    <xf numFmtId="0" fontId="4" fillId="0" borderId="0" xfId="0" applyFont="1" applyAlignment="1">
      <alignment horizontal="left" vertical="center"/>
    </xf>
    <xf numFmtId="0" fontId="0" fillId="0" borderId="8" xfId="0" applyBorder="1">
      <alignment vertical="center"/>
    </xf>
    <xf numFmtId="0" fontId="53" fillId="0" borderId="0" xfId="0" applyFont="1" applyFill="1" applyProtection="1">
      <alignment vertical="center"/>
      <protection hidden="1"/>
    </xf>
    <xf numFmtId="165" fontId="4" fillId="11" borderId="3" xfId="2" applyNumberFormat="1" applyFont="1" applyFill="1" applyBorder="1" applyAlignment="1" applyProtection="1">
      <alignment horizontal="center" vertical="center"/>
      <protection hidden="1"/>
    </xf>
    <xf numFmtId="165" fontId="4" fillId="11" borderId="0" xfId="2" applyNumberFormat="1" applyFont="1" applyFill="1" applyBorder="1" applyAlignment="1" applyProtection="1">
      <alignment horizontal="center" vertical="center"/>
      <protection hidden="1"/>
    </xf>
    <xf numFmtId="0" fontId="52" fillId="0" borderId="0" xfId="0" applyFont="1" applyFill="1" applyAlignment="1" applyProtection="1">
      <alignment horizontal="center" vertical="center"/>
      <protection hidden="1"/>
    </xf>
    <xf numFmtId="0" fontId="54" fillId="0" borderId="0" xfId="0" applyFont="1" applyAlignment="1" applyProtection="1">
      <alignment horizontal="center" vertical="center"/>
      <protection hidden="1"/>
    </xf>
    <xf numFmtId="166" fontId="23" fillId="8" borderId="3" xfId="0" applyNumberFormat="1" applyFont="1" applyFill="1" applyBorder="1" applyProtection="1">
      <alignment vertical="center"/>
      <protection hidden="1"/>
    </xf>
    <xf numFmtId="14" fontId="55" fillId="8" borderId="0" xfId="0" applyNumberFormat="1" applyFont="1" applyFill="1" applyBorder="1" applyAlignment="1" applyProtection="1">
      <alignment horizontal="right" vertical="center"/>
      <protection hidden="1"/>
    </xf>
    <xf numFmtId="0" fontId="39" fillId="0" borderId="0" xfId="0" applyFont="1" applyAlignment="1" applyProtection="1">
      <alignment horizontal="left" vertical="center"/>
      <protection hidden="1"/>
    </xf>
    <xf numFmtId="0" fontId="9" fillId="0" borderId="0" xfId="4" applyFont="1" applyFill="1" applyBorder="1" applyAlignment="1">
      <alignment vertical="top"/>
    </xf>
    <xf numFmtId="0" fontId="47" fillId="5" borderId="3" xfId="0" applyFont="1" applyFill="1" applyBorder="1" applyAlignment="1" applyProtection="1">
      <alignment horizontal="center" vertical="center"/>
      <protection hidden="1"/>
    </xf>
    <xf numFmtId="0" fontId="12" fillId="8" borderId="0" xfId="1" applyFont="1" applyFill="1" applyBorder="1" applyAlignment="1" applyProtection="1">
      <alignment horizontal="left" vertical="center" indent="1"/>
    </xf>
    <xf numFmtId="0" fontId="42" fillId="19" borderId="0" xfId="0" applyFont="1" applyFill="1" applyBorder="1" applyAlignment="1" applyProtection="1">
      <alignment horizontal="left" vertical="center" indent="1"/>
    </xf>
    <xf numFmtId="0" fontId="45" fillId="19" borderId="0" xfId="0" applyFont="1" applyFill="1" applyBorder="1" applyAlignment="1" applyProtection="1">
      <alignment horizontal="left" vertical="center" indent="1"/>
    </xf>
    <xf numFmtId="0" fontId="40"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1" fillId="18" borderId="0" xfId="1" applyFont="1" applyFill="1" applyBorder="1" applyAlignment="1" applyProtection="1">
      <alignment horizontal="left" vertical="center" wrapText="1"/>
    </xf>
    <xf numFmtId="164" fontId="23" fillId="5" borderId="5" xfId="0" applyNumberFormat="1" applyFont="1" applyFill="1" applyBorder="1" applyAlignment="1" applyProtection="1">
      <alignment horizontal="center" vertical="center"/>
      <protection hidden="1"/>
    </xf>
    <xf numFmtId="164" fontId="23" fillId="5" borderId="6" xfId="0" applyNumberFormat="1" applyFont="1" applyFill="1" applyBorder="1" applyAlignment="1" applyProtection="1">
      <alignment horizontal="center" vertical="center"/>
      <protection hidden="1"/>
    </xf>
    <xf numFmtId="164" fontId="47" fillId="17" borderId="4" xfId="0" applyNumberFormat="1" applyFont="1" applyFill="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52" fillId="0" borderId="0" xfId="0" applyFont="1" applyFill="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cellXfs>
  <cellStyles count="5">
    <cellStyle name="Lien hypertexte" xfId="1" builtinId="8"/>
    <cellStyle name="Normal" xfId="0" builtinId="0"/>
    <cellStyle name="Normal 2" xfId="4"/>
    <cellStyle name="Normal 4" xfId="3"/>
    <cellStyle name="Percent 2" xfId="2"/>
  </cellStyles>
  <dxfs count="8">
    <dxf>
      <font>
        <condense val="0"/>
        <extend val="0"/>
        <color indexed="53"/>
      </font>
      <fill>
        <patternFill>
          <bgColor indexed="53"/>
        </patternFill>
      </fill>
    </dxf>
    <dxf>
      <font>
        <color theme="0"/>
      </font>
      <fill>
        <patternFill patternType="none">
          <bgColor auto="1"/>
        </patternFill>
      </fill>
    </dxf>
    <dxf>
      <font>
        <color theme="0"/>
      </font>
    </dxf>
    <dxf>
      <font>
        <condense val="0"/>
        <extend val="0"/>
        <color indexed="53"/>
      </font>
      <fill>
        <patternFill>
          <bgColor indexed="53"/>
        </patternFill>
      </fill>
    </dxf>
    <dxf>
      <font>
        <color theme="0" tint="-0.24994659260841701"/>
      </font>
      <fill>
        <patternFill patternType="gray125">
          <bgColor theme="0" tint="-0.24994659260841701"/>
        </patternFill>
      </fill>
    </dxf>
    <dxf>
      <font>
        <condense val="0"/>
        <extend val="0"/>
        <color indexed="53"/>
      </font>
    </dxf>
    <dxf>
      <font>
        <condense val="0"/>
        <extend val="0"/>
        <color indexed="53"/>
      </font>
    </dxf>
    <dxf>
      <font>
        <condense val="0"/>
        <extend val="0"/>
        <color indexed="53"/>
      </font>
      <fill>
        <patternFill>
          <bgColor indexed="5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12" dropStyle="combo" dx="22" fmlaLink="calc!$C$10" fmlaRange="calc!$D$11:$D$22" val="0"/>
</file>

<file path=xl/ctrlProps/ctrlProp2.xml><?xml version="1.0" encoding="utf-8"?>
<formControlPr xmlns="http://schemas.microsoft.com/office/spreadsheetml/2009/9/main" objectType="Drop" dropStyle="combo" dx="22" fmlaLink="calc!$C$33" fmlaRange="calc!$D$34:$D$41" sel="8" val="0"/>
</file>

<file path=xl/ctrlProps/ctrlProp3.xml><?xml version="1.0" encoding="utf-8"?>
<formControlPr xmlns="http://schemas.microsoft.com/office/spreadsheetml/2009/9/main" objectType="Drop" dropLines="2" dropStyle="combo" dx="22" fmlaLink="calc!$C$44" fmlaRange="calc!$D$45:$D$46" val="0"/>
</file>

<file path=xl/ctrlProps/ctrlProp4.xml><?xml version="1.0" encoding="utf-8"?>
<formControlPr xmlns="http://schemas.microsoft.com/office/spreadsheetml/2009/9/main" objectType="Drop" dropLines="31" dropStyle="combo" dx="22" fmlaLink="calc!$E$9" fmlaRange="Dagen_invulveld" val="0"/>
</file>

<file path=xl/ctrlProps/ctrlProp5.xml><?xml version="1.0" encoding="utf-8"?>
<formControlPr xmlns="http://schemas.microsoft.com/office/spreadsheetml/2009/9/main" objectType="Scroll" dx="15" fmlaLink="calc!$D$3" horiz="1" max="366" min="1" page="30" val="2"/>
</file>

<file path=xl/ctrlProps/ctrlProp6.xml><?xml version="1.0" encoding="utf-8"?>
<formControlPr xmlns="http://schemas.microsoft.com/office/spreadsheetml/2009/9/main" objectType="CheckBox" fmlaLink="'1'!$G$13" lockText="1"/>
</file>

<file path=xl/ctrlProps/ctrlProp7.xml><?xml version="1.0" encoding="utf-8"?>
<formControlPr xmlns="http://schemas.microsoft.com/office/spreadsheetml/2009/9/main" objectType="CheckBox" fmlaLink="$H$6" lockText="1"/>
</file>

<file path=xl/ctrlProps/ctrlProp8.xml><?xml version="1.0" encoding="utf-8"?>
<formControlPr xmlns="http://schemas.microsoft.com/office/spreadsheetml/2009/9/main" objectType="Scroll" dx="15" fmlaLink="calc!$C$3" horiz="1" max="2554" page="30" val="0"/>
</file>

<file path=xl/ctrlProps/ctrlProp9.xml><?xml version="1.0" encoding="utf-8"?>
<formControlPr xmlns="http://schemas.microsoft.com/office/spreadsheetml/2009/9/main" objectType="Drop" dropLines="2" dropStyle="combo" dx="22" fmlaLink="calc!$G$4" fmlaRange="calc!$H$5:$H$6" sel="2" val="0"/>
</file>

<file path=xl/ctrlProps/ctrlProp10.xml><?xml version="1.0" encoding="utf-8"?>
<formControlPr xmlns="http://schemas.microsoft.com/office/spreadsheetml/2009/9/main" objectType="Scroll" dx="15" fmlaLink="calc!$C$49" horiz="1" max="1559" min="467" page="30" val="83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12360" name="Rectangle 1" descr="50%">
          <a:extLst>
            <a:ext uri="{FF2B5EF4-FFF2-40B4-BE49-F238E27FC236}">
              <a16:creationId xmlns:a16="http://schemas.microsoft.com/office/drawing/2014/main" xmlns="" id="{00000000-0008-0000-0000-000048300000}"/>
            </a:ext>
          </a:extLst>
        </xdr:cNvPr>
        <xdr:cNvSpPr>
          <a:spLocks noChangeArrowheads="1"/>
        </xdr:cNvSpPr>
      </xdr:nvSpPr>
      <xdr:spPr bwMode="auto">
        <a:xfrm>
          <a:off x="381000" y="247650"/>
          <a:ext cx="6838950" cy="7219950"/>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prstShdw>
        </a:effectLst>
        <a:extLst>
          <a:ext uri="{909E8E84-426E-40DD-AFC4-6F175D3DCCD1}">
            <a14:hiddenFill xmlns:a14="http://schemas.microsoft.com/office/drawing/2010/main">
              <a:blipFill dpi="0" rotWithShape="0">
                <a:blip xmlns:r="http://schemas.openxmlformats.org/officeDocument/2006/relationships" r:embed="rId1"/>
                <a:srcRect/>
                <a:tile tx="0" ty="0" sx="100000" sy="100000" flip="none" algn="tl"/>
              </a:blipFill>
            </a14:hiddenFill>
          </a:ext>
        </a:extLst>
      </xdr:spPr>
    </xdr:sp>
    <xdr:clientData fPrintsWithSheet="0"/>
  </xdr:twoCellAnchor>
  <xdr:twoCellAnchor>
    <xdr:from>
      <xdr:col>2</xdr:col>
      <xdr:colOff>0</xdr:colOff>
      <xdr:row>6</xdr:row>
      <xdr:rowOff>0</xdr:rowOff>
    </xdr:from>
    <xdr:to>
      <xdr:col>18</xdr:col>
      <xdr:colOff>0</xdr:colOff>
      <xdr:row>12</xdr:row>
      <xdr:rowOff>0</xdr:rowOff>
    </xdr:to>
    <xdr:sp macro="" textlink="">
      <xdr:nvSpPr>
        <xdr:cNvPr id="1032" name="Text Box 8">
          <a:extLst>
            <a:ext uri="{FF2B5EF4-FFF2-40B4-BE49-F238E27FC236}">
              <a16:creationId xmlns:a16="http://schemas.microsoft.com/office/drawing/2014/main" xmlns="" id="{00000000-0008-0000-0000-000008040000}"/>
            </a:ext>
          </a:extLst>
        </xdr:cNvPr>
        <xdr:cNvSpPr txBox="1">
          <a:spLocks noChangeArrowheads="1"/>
        </xdr:cNvSpPr>
      </xdr:nvSpPr>
      <xdr:spPr bwMode="auto">
        <a:xfrm>
          <a:off x="561975" y="2762250"/>
          <a:ext cx="6477000" cy="148590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defRPr sz="1000"/>
          </a:pPr>
          <a:r>
            <a:rPr kumimoji="0" lang="en-GB" sz="1200" b="0" i="0" u="none" strike="noStrike" kern="0" cap="none" spc="0" normalizeH="0" baseline="0" noProof="0">
              <a:ln>
                <a:noFill/>
              </a:ln>
              <a:solidFill>
                <a:srgbClr val="000000"/>
              </a:solidFill>
              <a:effectLst/>
              <a:uLnTx/>
              <a:uFillTx/>
              <a:latin typeface="Tahoma"/>
              <a:ea typeface="+mn-ea"/>
              <a:cs typeface="Tahoma"/>
            </a:rPr>
            <a:t>Le calcul de l'avantage de toute nature relatif à une voiture de société tient compte</a:t>
          </a:r>
          <a:r>
            <a:rPr kumimoji="0" lang="en-GB" sz="1000" b="0" i="0" u="none" strike="noStrike" kern="0" cap="none" spc="0" normalizeH="0" baseline="0" noProof="0">
              <a:ln>
                <a:noFill/>
              </a:ln>
              <a:solidFill>
                <a:srgbClr val="000000"/>
              </a:solidFill>
              <a:effectLst/>
              <a:uLnTx/>
              <a:uFillTx/>
              <a:latin typeface="+mn-lt"/>
              <a:ea typeface="+mn-ea"/>
              <a:cs typeface="Calibri"/>
            </a:rPr>
            <a:t> </a:t>
          </a:r>
          <a:r>
            <a:rPr kumimoji="0" lang="en-GB" sz="1200" b="0" i="0" u="none" strike="noStrike" kern="0" cap="none" spc="0" normalizeH="0" baseline="0" noProof="0">
              <a:ln>
                <a:noFill/>
              </a:ln>
              <a:solidFill>
                <a:srgbClr val="000000"/>
              </a:solidFill>
              <a:effectLst/>
              <a:uLnTx/>
              <a:uFillTx/>
              <a:latin typeface="Tahoma"/>
              <a:ea typeface="+mn-ea"/>
              <a:cs typeface="Tahoma"/>
            </a:rPr>
            <a:t>de des émissions de CO</a:t>
          </a:r>
          <a:r>
            <a:rPr kumimoji="0" lang="en-GB" sz="1200" b="0" i="0" u="none" strike="noStrike" kern="0" cap="none" spc="0" normalizeH="0" baseline="-25000" noProof="0">
              <a:ln>
                <a:noFill/>
              </a:ln>
              <a:solidFill>
                <a:srgbClr val="000000"/>
              </a:solidFill>
              <a:effectLst/>
              <a:uLnTx/>
              <a:uFillTx/>
              <a:latin typeface="Tahoma"/>
              <a:ea typeface="+mn-ea"/>
              <a:cs typeface="Tahoma"/>
            </a:rPr>
            <a:t>2</a:t>
          </a:r>
          <a:r>
            <a:rPr kumimoji="0" lang="en-GB" sz="1200" b="0" i="0" u="none" strike="noStrike" kern="0" cap="none" spc="0" normalizeH="0" baseline="0" noProof="0">
              <a:ln>
                <a:noFill/>
              </a:ln>
              <a:solidFill>
                <a:srgbClr val="000000"/>
              </a:solidFill>
              <a:effectLst/>
              <a:uLnTx/>
              <a:uFillTx/>
              <a:latin typeface="Tahoma"/>
              <a:ea typeface="+mn-ea"/>
              <a:cs typeface="Tahoma"/>
            </a:rPr>
            <a:t> et de la valeur catalogue du véhicule, à savoir le prix facturé TVA et options incluses, mais hors remises</a:t>
          </a:r>
          <a:r>
            <a:rPr lang="nl-NL" sz="1200" b="0" i="0" u="none" strike="noStrike" baseline="0">
              <a:solidFill>
                <a:srgbClr val="000000"/>
              </a:solidFill>
              <a:latin typeface="Tahoma"/>
              <a:ea typeface="Tahoma"/>
              <a:cs typeface="Tahoma"/>
            </a:rPr>
            <a:t>. </a:t>
          </a:r>
        </a:p>
        <a:p>
          <a:pPr algn="l" rtl="0">
            <a:lnSpc>
              <a:spcPts val="1300"/>
            </a:lnSpc>
            <a:defRPr sz="1000"/>
          </a:pPr>
          <a:r>
            <a:rPr lang="nl-NL" sz="1200" b="0" i="0" u="none" strike="noStrike" baseline="0">
              <a:solidFill>
                <a:srgbClr val="000000"/>
              </a:solidFill>
              <a:latin typeface="Tahoma"/>
              <a:ea typeface="Tahoma"/>
              <a:cs typeface="Tahoma"/>
            </a:rPr>
            <a:t>Depuis le 01.01.2017, le montant ajouté aux dépenses non admises dansle chef de la société est passé de 17 à 40% lorsque celle-ci prend également en charge les frais de carburant.  </a:t>
          </a:r>
        </a:p>
        <a:p>
          <a:pPr algn="l" rtl="0">
            <a:lnSpc>
              <a:spcPts val="1100"/>
            </a:lnSpc>
            <a:defRPr sz="1000"/>
          </a:pPr>
          <a:endParaRPr lang="nl-NL" sz="1200" b="0" i="0" u="none" strike="noStrike" baseline="0">
            <a:solidFill>
              <a:srgbClr val="000000"/>
            </a:solidFill>
            <a:latin typeface="Tahoma"/>
            <a:ea typeface="Tahoma"/>
            <a:cs typeface="Tahoma"/>
          </a:endParaRPr>
        </a:p>
      </xdr:txBody>
    </xdr:sp>
    <xdr:clientData/>
  </xdr:twoCellAnchor>
  <xdr:twoCellAnchor>
    <xdr:from>
      <xdr:col>15</xdr:col>
      <xdr:colOff>0</xdr:colOff>
      <xdr:row>17</xdr:row>
      <xdr:rowOff>0</xdr:rowOff>
    </xdr:from>
    <xdr:to>
      <xdr:col>17</xdr:col>
      <xdr:colOff>0</xdr:colOff>
      <xdr:row>18</xdr:row>
      <xdr:rowOff>0</xdr:rowOff>
    </xdr:to>
    <xdr:grpSp>
      <xdr:nvGrpSpPr>
        <xdr:cNvPr id="12363" name="Group 9">
          <a:extLst>
            <a:ext uri="{FF2B5EF4-FFF2-40B4-BE49-F238E27FC236}">
              <a16:creationId xmlns:a16="http://schemas.microsoft.com/office/drawing/2014/main" xmlns="" id="{00000000-0008-0000-0000-00004B300000}"/>
            </a:ext>
          </a:extLst>
        </xdr:cNvPr>
        <xdr:cNvGrpSpPr>
          <a:grpSpLocks/>
        </xdr:cNvGrpSpPr>
      </xdr:nvGrpSpPr>
      <xdr:grpSpPr bwMode="auto">
        <a:xfrm>
          <a:off x="5067300" y="5547360"/>
          <a:ext cx="891540" cy="251460"/>
          <a:chOff x="878" y="692"/>
          <a:chExt cx="40" cy="52"/>
        </a:xfrm>
      </xdr:grpSpPr>
      <xdr:sp macro="" textlink="">
        <xdr:nvSpPr>
          <xdr:cNvPr id="12381" name="Line 10">
            <a:extLst>
              <a:ext uri="{FF2B5EF4-FFF2-40B4-BE49-F238E27FC236}">
                <a16:creationId xmlns:a16="http://schemas.microsoft.com/office/drawing/2014/main" xmlns="" id="{00000000-0008-0000-0000-00005D3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382" name="Line 11">
            <a:extLst>
              <a:ext uri="{FF2B5EF4-FFF2-40B4-BE49-F238E27FC236}">
                <a16:creationId xmlns:a16="http://schemas.microsoft.com/office/drawing/2014/main" xmlns="" id="{00000000-0008-0000-0000-00005E3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383" name="Line 12">
            <a:extLst>
              <a:ext uri="{FF2B5EF4-FFF2-40B4-BE49-F238E27FC236}">
                <a16:creationId xmlns:a16="http://schemas.microsoft.com/office/drawing/2014/main" xmlns="" id="{00000000-0008-0000-0000-00005F3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2384" name="Line 13">
            <a:extLst>
              <a:ext uri="{FF2B5EF4-FFF2-40B4-BE49-F238E27FC236}">
                <a16:creationId xmlns:a16="http://schemas.microsoft.com/office/drawing/2014/main" xmlns="" id="{00000000-0008-0000-0000-0000603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oneCellAnchor>
    <xdr:from>
      <xdr:col>2</xdr:col>
      <xdr:colOff>8043</xdr:colOff>
      <xdr:row>12</xdr:row>
      <xdr:rowOff>245139</xdr:rowOff>
    </xdr:from>
    <xdr:ext cx="155364" cy="231033"/>
    <xdr:sp macro="" textlink="">
      <xdr:nvSpPr>
        <xdr:cNvPr id="1048" name="Text Box 24">
          <a:extLst>
            <a:ext uri="{FF2B5EF4-FFF2-40B4-BE49-F238E27FC236}">
              <a16:creationId xmlns:a16="http://schemas.microsoft.com/office/drawing/2014/main" xmlns="" id="{00000000-0008-0000-0000-000018040000}"/>
            </a:ext>
          </a:extLst>
        </xdr:cNvPr>
        <xdr:cNvSpPr txBox="1">
          <a:spLocks noChangeArrowheads="1"/>
        </xdr:cNvSpPr>
      </xdr:nvSpPr>
      <xdr:spPr bwMode="auto">
        <a:xfrm>
          <a:off x="570018" y="4493289"/>
          <a:ext cx="155364" cy="231033"/>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2</xdr:col>
      <xdr:colOff>0</xdr:colOff>
      <xdr:row>14</xdr:row>
      <xdr:rowOff>0</xdr:rowOff>
    </xdr:from>
    <xdr:to>
      <xdr:col>18</xdr:col>
      <xdr:colOff>0</xdr:colOff>
      <xdr:row>17</xdr:row>
      <xdr:rowOff>0</xdr:rowOff>
    </xdr:to>
    <xdr:sp macro="" textlink="">
      <xdr:nvSpPr>
        <xdr:cNvPr id="1050" name="Text Box 26">
          <a:extLst>
            <a:ext uri="{FF2B5EF4-FFF2-40B4-BE49-F238E27FC236}">
              <a16:creationId xmlns:a16="http://schemas.microsoft.com/office/drawing/2014/main" xmlns="" id="{00000000-0008-0000-0000-00001A040000}"/>
            </a:ext>
          </a:extLst>
        </xdr:cNvPr>
        <xdr:cNvSpPr txBox="1">
          <a:spLocks noChangeArrowheads="1"/>
        </xdr:cNvSpPr>
      </xdr:nvSpPr>
      <xdr:spPr bwMode="auto">
        <a:xfrm>
          <a:off x="561975" y="4743450"/>
          <a:ext cx="6477000" cy="742950"/>
        </a:xfrm>
        <a:prstGeom prst="rect">
          <a:avLst/>
        </a:prstGeom>
        <a:noFill/>
        <a:ln>
          <a:noFill/>
        </a:ln>
        <a:effectLst>
          <a:prstShdw prst="shdw17" dist="17961" dir="2700000">
            <a:srgbClr xmlns:mc="http://schemas.openxmlformats.org/markup-compatibility/2006" xmlns:a14="http://schemas.microsoft.com/office/drawing/2010/main" val="8A8A8A" mc:Ignorable="a14" a14:legacySpreadsheetColorIndex="8">
              <a:gamma/>
              <a:shade val="60000"/>
              <a:invGamma/>
            </a:srgbClr>
          </a:prstShdw>
        </a:effectLst>
        <a:extLst>
          <a:ext uri="{909E8E84-426E-40DD-AFC4-6F175D3DCCD1}">
            <a14:hiddenFill xmlns:a14="http://schemas.microsoft.com/office/drawing/2010/main">
              <a:solidFill>
                <a:srgbClr xmlns:mc="http://schemas.openxmlformats.org/markup-compatibility/2006" val="E6E6E6" mc:Ignorable="a14" a14:legacySpreadsheetColorIndex="8"/>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44000" tIns="118800" rIns="90000" bIns="46800" anchor="t" upright="1"/>
        <a:lstStyle/>
        <a:p>
          <a:pPr algn="l" rtl="0">
            <a:lnSpc>
              <a:spcPts val="1300"/>
            </a:lnSpc>
            <a:defRPr sz="1000"/>
          </a:pPr>
          <a:r>
            <a:rPr lang="nl-NL" sz="1200" b="0" i="0" u="none" strike="noStrike" baseline="0">
              <a:solidFill>
                <a:srgbClr val="000000"/>
              </a:solidFill>
              <a:latin typeface="Tahoma"/>
              <a:ea typeface="Tahoma"/>
              <a:cs typeface="Tahoma"/>
            </a:rPr>
            <a:t>Utilisez ce module de calcul pour déterminer le montant de l'avantage imposable relatif à votre voiture de société en 2020.</a:t>
          </a:r>
        </a:p>
      </xdr:txBody>
    </xdr:sp>
    <xdr:clientData/>
  </xdr:twoCellAnchor>
  <xdr:oneCellAnchor>
    <xdr:from>
      <xdr:col>2</xdr:col>
      <xdr:colOff>0</xdr:colOff>
      <xdr:row>5</xdr:row>
      <xdr:rowOff>0</xdr:rowOff>
    </xdr:from>
    <xdr:ext cx="155364" cy="231033"/>
    <xdr:sp macro="" textlink="">
      <xdr:nvSpPr>
        <xdr:cNvPr id="32" name="Text Box 25">
          <a:extLst>
            <a:ext uri="{FF2B5EF4-FFF2-40B4-BE49-F238E27FC236}">
              <a16:creationId xmlns:a16="http://schemas.microsoft.com/office/drawing/2014/main" xmlns="" id="{00000000-0008-0000-0000-000020000000}"/>
            </a:ext>
          </a:extLst>
        </xdr:cNvPr>
        <xdr:cNvSpPr txBox="1">
          <a:spLocks noChangeArrowheads="1"/>
        </xdr:cNvSpPr>
      </xdr:nvSpPr>
      <xdr:spPr bwMode="auto">
        <a:xfrm>
          <a:off x="561975" y="2514600"/>
          <a:ext cx="155364" cy="231033"/>
        </a:xfrm>
        <a:prstGeom prst="rect">
          <a:avLst/>
        </a:prstGeom>
        <a:solidFill>
          <a:srgbClr val="00008F"/>
        </a:solidFill>
        <a:ln>
          <a:noFill/>
        </a:ln>
        <a:effectLst>
          <a:prstShdw prst="shdw17" dist="17961" dir="2700000">
            <a:srgbClr xmlns:mc="http://schemas.openxmlformats.org/markup-compatibility/2006" xmlns:a14="http://schemas.microsoft.com/office/drawing/2010/main" val="2A2A2A" mc:Ignorable="a14" a14:legacySpreadsheetColorIndex="21">
              <a:gamma/>
              <a:shade val="60000"/>
              <a:invGamma/>
            </a:srgbClr>
          </a:prstShdw>
        </a:effec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xdr:twoCellAnchor>
    <xdr:from>
      <xdr:col>16</xdr:col>
      <xdr:colOff>523875</xdr:colOff>
      <xdr:row>21</xdr:row>
      <xdr:rowOff>238125</xdr:rowOff>
    </xdr:from>
    <xdr:to>
      <xdr:col>17</xdr:col>
      <xdr:colOff>9267</xdr:colOff>
      <xdr:row>23</xdr:row>
      <xdr:rowOff>238125</xdr:rowOff>
    </xdr:to>
    <xdr:sp macro="" textlink="">
      <xdr:nvSpPr>
        <xdr:cNvPr id="33" name="Rectangle 29">
          <a:extLst>
            <a:ext uri="{FF2B5EF4-FFF2-40B4-BE49-F238E27FC236}">
              <a16:creationId xmlns:a16="http://schemas.microsoft.com/office/drawing/2014/main" xmlns="" id="{00000000-0008-0000-0000-000021000000}"/>
            </a:ext>
          </a:extLst>
        </xdr:cNvPr>
        <xdr:cNvSpPr>
          <a:spLocks noChangeArrowheads="1"/>
        </xdr:cNvSpPr>
      </xdr:nvSpPr>
      <xdr:spPr bwMode="auto">
        <a:xfrm>
          <a:off x="6419850" y="6924675"/>
          <a:ext cx="75942" cy="495300"/>
        </a:xfrm>
        <a:prstGeom prst="rect">
          <a:avLst/>
        </a:prstGeom>
        <a:solidFill>
          <a:schemeClr val="bg1">
            <a:lumMod val="95000"/>
          </a:schemeClr>
        </a:solidFill>
        <a:ln w="9525">
          <a:noFill/>
          <a:miter lim="800000"/>
          <a:headEnd/>
          <a:tailEnd/>
        </a:ln>
      </xdr:spPr>
    </xdr:sp>
    <xdr:clientData/>
  </xdr:twoCellAnchor>
  <xdr:twoCellAnchor editAs="oneCell">
    <xdr:from>
      <xdr:col>2</xdr:col>
      <xdr:colOff>28575</xdr:colOff>
      <xdr:row>1</xdr:row>
      <xdr:rowOff>238125</xdr:rowOff>
    </xdr:from>
    <xdr:to>
      <xdr:col>18</xdr:col>
      <xdr:colOff>27765</xdr:colOff>
      <xdr:row>3</xdr:row>
      <xdr:rowOff>37904</xdr:rowOff>
    </xdr:to>
    <xdr:pic>
      <xdr:nvPicPr>
        <xdr:cNvPr id="14" name="Picture 13">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2"/>
        <a:stretch>
          <a:fillRect/>
        </a:stretch>
      </xdr:blipFill>
      <xdr:spPr>
        <a:xfrm>
          <a:off x="590550" y="485775"/>
          <a:ext cx="6476190" cy="1571429"/>
        </a:xfrm>
        <a:prstGeom prst="rect">
          <a:avLst/>
        </a:prstGeom>
      </xdr:spPr>
    </xdr:pic>
    <xdr:clientData/>
  </xdr:twoCellAnchor>
  <xdr:twoCellAnchor>
    <xdr:from>
      <xdr:col>15</xdr:col>
      <xdr:colOff>0</xdr:colOff>
      <xdr:row>17</xdr:row>
      <xdr:rowOff>0</xdr:rowOff>
    </xdr:from>
    <xdr:to>
      <xdr:col>17</xdr:col>
      <xdr:colOff>0</xdr:colOff>
      <xdr:row>18</xdr:row>
      <xdr:rowOff>0</xdr:rowOff>
    </xdr:to>
    <xdr:grpSp>
      <xdr:nvGrpSpPr>
        <xdr:cNvPr id="15" name="Group 9">
          <a:extLst>
            <a:ext uri="{FF2B5EF4-FFF2-40B4-BE49-F238E27FC236}">
              <a16:creationId xmlns:a16="http://schemas.microsoft.com/office/drawing/2014/main" xmlns="" id="{00000000-0008-0000-0000-00000F000000}"/>
            </a:ext>
          </a:extLst>
        </xdr:cNvPr>
        <xdr:cNvGrpSpPr>
          <a:grpSpLocks/>
        </xdr:cNvGrpSpPr>
      </xdr:nvGrpSpPr>
      <xdr:grpSpPr bwMode="auto">
        <a:xfrm>
          <a:off x="5067300" y="5547360"/>
          <a:ext cx="891540" cy="251460"/>
          <a:chOff x="878" y="692"/>
          <a:chExt cx="40" cy="52"/>
        </a:xfrm>
      </xdr:grpSpPr>
      <xdr:sp macro="" textlink="">
        <xdr:nvSpPr>
          <xdr:cNvPr id="16" name="Line 10">
            <a:extLst>
              <a:ext uri="{FF2B5EF4-FFF2-40B4-BE49-F238E27FC236}">
                <a16:creationId xmlns:a16="http://schemas.microsoft.com/office/drawing/2014/main" xmlns="" id="{00000000-0008-0000-0000-000010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xmlns="" id="{00000000-0008-0000-0000-000011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xmlns="" id="{00000000-0008-0000-0000-000012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xmlns="" id="{00000000-0008-0000-0000-000013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0" name="Group 9">
          <a:extLst>
            <a:ext uri="{FF2B5EF4-FFF2-40B4-BE49-F238E27FC236}">
              <a16:creationId xmlns:a16="http://schemas.microsoft.com/office/drawing/2014/main" xmlns="" id="{00000000-0008-0000-0000-000014000000}"/>
            </a:ext>
          </a:extLst>
        </xdr:cNvPr>
        <xdr:cNvGrpSpPr>
          <a:grpSpLocks/>
        </xdr:cNvGrpSpPr>
      </xdr:nvGrpSpPr>
      <xdr:grpSpPr bwMode="auto">
        <a:xfrm>
          <a:off x="5067300" y="5547360"/>
          <a:ext cx="891540" cy="251460"/>
          <a:chOff x="878" y="692"/>
          <a:chExt cx="40" cy="52"/>
        </a:xfrm>
      </xdr:grpSpPr>
      <xdr:sp macro="" textlink="">
        <xdr:nvSpPr>
          <xdr:cNvPr id="21" name="Line 10">
            <a:extLst>
              <a:ext uri="{FF2B5EF4-FFF2-40B4-BE49-F238E27FC236}">
                <a16:creationId xmlns:a16="http://schemas.microsoft.com/office/drawing/2014/main" xmlns="" id="{00000000-0008-0000-0000-000015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2" name="Line 11">
            <a:extLst>
              <a:ext uri="{FF2B5EF4-FFF2-40B4-BE49-F238E27FC236}">
                <a16:creationId xmlns:a16="http://schemas.microsoft.com/office/drawing/2014/main" xmlns="" id="{00000000-0008-0000-0000-000016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3" name="Line 12">
            <a:extLst>
              <a:ext uri="{FF2B5EF4-FFF2-40B4-BE49-F238E27FC236}">
                <a16:creationId xmlns:a16="http://schemas.microsoft.com/office/drawing/2014/main" xmlns="" id="{00000000-0008-0000-0000-000017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4" name="Line 13">
            <a:extLst>
              <a:ext uri="{FF2B5EF4-FFF2-40B4-BE49-F238E27FC236}">
                <a16:creationId xmlns:a16="http://schemas.microsoft.com/office/drawing/2014/main" xmlns="" id="{00000000-0008-0000-0000-000018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25" name="Group 9">
          <a:extLst>
            <a:ext uri="{FF2B5EF4-FFF2-40B4-BE49-F238E27FC236}">
              <a16:creationId xmlns:a16="http://schemas.microsoft.com/office/drawing/2014/main" xmlns="" id="{00000000-0008-0000-0000-000019000000}"/>
            </a:ext>
          </a:extLst>
        </xdr:cNvPr>
        <xdr:cNvGrpSpPr>
          <a:grpSpLocks/>
        </xdr:cNvGrpSpPr>
      </xdr:nvGrpSpPr>
      <xdr:grpSpPr bwMode="auto">
        <a:xfrm>
          <a:off x="5067300" y="5547360"/>
          <a:ext cx="891540" cy="251460"/>
          <a:chOff x="878" y="692"/>
          <a:chExt cx="40" cy="52"/>
        </a:xfrm>
      </xdr:grpSpPr>
      <xdr:sp macro="" textlink="">
        <xdr:nvSpPr>
          <xdr:cNvPr id="26" name="Line 10">
            <a:extLst>
              <a:ext uri="{FF2B5EF4-FFF2-40B4-BE49-F238E27FC236}">
                <a16:creationId xmlns:a16="http://schemas.microsoft.com/office/drawing/2014/main" xmlns="" id="{00000000-0008-0000-0000-00001A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7" name="Line 11">
            <a:extLst>
              <a:ext uri="{FF2B5EF4-FFF2-40B4-BE49-F238E27FC236}">
                <a16:creationId xmlns:a16="http://schemas.microsoft.com/office/drawing/2014/main" xmlns="" id="{00000000-0008-0000-0000-00001B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8" name="Line 12">
            <a:extLst>
              <a:ext uri="{FF2B5EF4-FFF2-40B4-BE49-F238E27FC236}">
                <a16:creationId xmlns:a16="http://schemas.microsoft.com/office/drawing/2014/main" xmlns="" id="{00000000-0008-0000-0000-00001C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 name="Line 13">
            <a:extLst>
              <a:ext uri="{FF2B5EF4-FFF2-40B4-BE49-F238E27FC236}">
                <a16:creationId xmlns:a16="http://schemas.microsoft.com/office/drawing/2014/main" xmlns="" id="{00000000-0008-0000-0000-00001D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17</xdr:row>
      <xdr:rowOff>0</xdr:rowOff>
    </xdr:from>
    <xdr:to>
      <xdr:col>17</xdr:col>
      <xdr:colOff>0</xdr:colOff>
      <xdr:row>18</xdr:row>
      <xdr:rowOff>0</xdr:rowOff>
    </xdr:to>
    <xdr:grpSp>
      <xdr:nvGrpSpPr>
        <xdr:cNvPr id="30" name="Group 9">
          <a:extLst>
            <a:ext uri="{FF2B5EF4-FFF2-40B4-BE49-F238E27FC236}">
              <a16:creationId xmlns:a16="http://schemas.microsoft.com/office/drawing/2014/main" xmlns="" id="{00000000-0008-0000-0000-00001E000000}"/>
            </a:ext>
          </a:extLst>
        </xdr:cNvPr>
        <xdr:cNvGrpSpPr>
          <a:grpSpLocks/>
        </xdr:cNvGrpSpPr>
      </xdr:nvGrpSpPr>
      <xdr:grpSpPr bwMode="auto">
        <a:xfrm>
          <a:off x="5067300" y="5547360"/>
          <a:ext cx="891540" cy="251460"/>
          <a:chOff x="878" y="692"/>
          <a:chExt cx="40" cy="52"/>
        </a:xfrm>
      </xdr:grpSpPr>
      <xdr:sp macro="" textlink="">
        <xdr:nvSpPr>
          <xdr:cNvPr id="34" name="Line 10">
            <a:extLst>
              <a:ext uri="{FF2B5EF4-FFF2-40B4-BE49-F238E27FC236}">
                <a16:creationId xmlns:a16="http://schemas.microsoft.com/office/drawing/2014/main" xmlns="" id="{00000000-0008-0000-0000-000022000000}"/>
              </a:ext>
            </a:extLst>
          </xdr:cNvPr>
          <xdr:cNvSpPr>
            <a:spLocks noChangeShapeType="1"/>
          </xdr:cNvSpPr>
        </xdr:nvSpPr>
        <xdr:spPr bwMode="auto">
          <a:xfrm>
            <a:off x="878" y="692"/>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5" name="Line 11">
            <a:extLst>
              <a:ext uri="{FF2B5EF4-FFF2-40B4-BE49-F238E27FC236}">
                <a16:creationId xmlns:a16="http://schemas.microsoft.com/office/drawing/2014/main" xmlns="" id="{00000000-0008-0000-0000-000023000000}"/>
              </a:ext>
            </a:extLst>
          </xdr:cNvPr>
          <xdr:cNvSpPr>
            <a:spLocks noChangeShapeType="1"/>
          </xdr:cNvSpPr>
        </xdr:nvSpPr>
        <xdr:spPr bwMode="auto">
          <a:xfrm>
            <a:off x="87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6" name="Line 12">
            <a:extLst>
              <a:ext uri="{FF2B5EF4-FFF2-40B4-BE49-F238E27FC236}">
                <a16:creationId xmlns:a16="http://schemas.microsoft.com/office/drawing/2014/main" xmlns="" id="{00000000-0008-0000-0000-000024000000}"/>
              </a:ext>
            </a:extLst>
          </xdr:cNvPr>
          <xdr:cNvSpPr>
            <a:spLocks noChangeShapeType="1"/>
          </xdr:cNvSpPr>
        </xdr:nvSpPr>
        <xdr:spPr bwMode="auto">
          <a:xfrm>
            <a:off x="878" y="744"/>
            <a:ext cx="40" cy="0"/>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37" name="Line 13">
            <a:extLst>
              <a:ext uri="{FF2B5EF4-FFF2-40B4-BE49-F238E27FC236}">
                <a16:creationId xmlns:a16="http://schemas.microsoft.com/office/drawing/2014/main" xmlns="" id="{00000000-0008-0000-0000-000025000000}"/>
              </a:ext>
            </a:extLst>
          </xdr:cNvPr>
          <xdr:cNvSpPr>
            <a:spLocks noChangeShapeType="1"/>
          </xdr:cNvSpPr>
        </xdr:nvSpPr>
        <xdr:spPr bwMode="auto">
          <a:xfrm>
            <a:off x="918" y="692"/>
            <a:ext cx="0" cy="52"/>
          </a:xfrm>
          <a:prstGeom prst="line">
            <a:avLst/>
          </a:prstGeom>
          <a:noFill/>
          <a:ln w="9525">
            <a:solidFill>
              <a:srgbClr xmlns:mc="http://schemas.openxmlformats.org/markup-compatibility/2006" xmlns:a14="http://schemas.microsoft.com/office/drawing/2010/main" val="EB0505" mc:Ignorable="a14" a14:legacySpreadsheetColorIndex="14"/>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16</xdr:col>
      <xdr:colOff>523875</xdr:colOff>
      <xdr:row>21</xdr:row>
      <xdr:rowOff>238125</xdr:rowOff>
    </xdr:from>
    <xdr:to>
      <xdr:col>17</xdr:col>
      <xdr:colOff>9267</xdr:colOff>
      <xdr:row>23</xdr:row>
      <xdr:rowOff>238125</xdr:rowOff>
    </xdr:to>
    <xdr:sp macro="" textlink="">
      <xdr:nvSpPr>
        <xdr:cNvPr id="38" name="Rectangle 29">
          <a:extLst>
            <a:ext uri="{FF2B5EF4-FFF2-40B4-BE49-F238E27FC236}">
              <a16:creationId xmlns:a16="http://schemas.microsoft.com/office/drawing/2014/main" xmlns="" id="{00000000-0008-0000-0000-000026000000}"/>
            </a:ext>
          </a:extLst>
        </xdr:cNvPr>
        <xdr:cNvSpPr>
          <a:spLocks noChangeArrowheads="1"/>
        </xdr:cNvSpPr>
      </xdr:nvSpPr>
      <xdr:spPr bwMode="auto">
        <a:xfrm>
          <a:off x="6419850" y="6838950"/>
          <a:ext cx="75942" cy="495300"/>
        </a:xfrm>
        <a:prstGeom prst="rect">
          <a:avLst/>
        </a:prstGeom>
        <a:solidFill>
          <a:schemeClr val="bg1">
            <a:lumMod val="95000"/>
          </a:schemeClr>
        </a:solidFill>
        <a:ln w="9525">
          <a:noFill/>
          <a:miter lim="800000"/>
          <a:headEnd/>
          <a:tailEnd/>
        </a:ln>
      </xdr:spPr>
    </xdr:sp>
    <xdr:clientData/>
  </xdr:twoCellAnchor>
  <xdr:twoCellAnchor>
    <xdr:from>
      <xdr:col>16</xdr:col>
      <xdr:colOff>533400</xdr:colOff>
      <xdr:row>22</xdr:row>
      <xdr:rowOff>0</xdr:rowOff>
    </xdr:from>
    <xdr:to>
      <xdr:col>17</xdr:col>
      <xdr:colOff>18792</xdr:colOff>
      <xdr:row>24</xdr:row>
      <xdr:rowOff>0</xdr:rowOff>
    </xdr:to>
    <xdr:sp macro="" textlink="">
      <xdr:nvSpPr>
        <xdr:cNvPr id="39" name="Rectangle 29">
          <a:extLst>
            <a:ext uri="{FF2B5EF4-FFF2-40B4-BE49-F238E27FC236}">
              <a16:creationId xmlns:a16="http://schemas.microsoft.com/office/drawing/2014/main" xmlns="" id="{00000000-0008-0000-0000-000027000000}"/>
            </a:ext>
          </a:extLst>
        </xdr:cNvPr>
        <xdr:cNvSpPr>
          <a:spLocks noChangeArrowheads="1"/>
        </xdr:cNvSpPr>
      </xdr:nvSpPr>
      <xdr:spPr bwMode="auto">
        <a:xfrm>
          <a:off x="6429375" y="6848475"/>
          <a:ext cx="75942" cy="495300"/>
        </a:xfrm>
        <a:prstGeom prst="rect">
          <a:avLst/>
        </a:prstGeom>
        <a:solidFill>
          <a:schemeClr val="accent1">
            <a:lumMod val="20000"/>
            <a:lumOff val="80000"/>
          </a:schemeClr>
        </a:solidFill>
        <a:ln w="9525">
          <a:noFill/>
          <a:miter lim="800000"/>
          <a:headEnd/>
          <a:tailEnd/>
        </a:ln>
      </xdr:spPr>
    </xdr:sp>
    <xdr:clientData/>
  </xdr:twoCellAnchor>
  <xdr:twoCellAnchor>
    <xdr:from>
      <xdr:col>16</xdr:col>
      <xdr:colOff>514608</xdr:colOff>
      <xdr:row>22</xdr:row>
      <xdr:rowOff>0</xdr:rowOff>
    </xdr:from>
    <xdr:to>
      <xdr:col>17</xdr:col>
      <xdr:colOff>0</xdr:colOff>
      <xdr:row>24</xdr:row>
      <xdr:rowOff>0</xdr:rowOff>
    </xdr:to>
    <xdr:sp macro="" textlink="">
      <xdr:nvSpPr>
        <xdr:cNvPr id="40" name="Rectangle 29">
          <a:extLst>
            <a:ext uri="{FF2B5EF4-FFF2-40B4-BE49-F238E27FC236}">
              <a16:creationId xmlns:a16="http://schemas.microsoft.com/office/drawing/2014/main" xmlns="" id="{00000000-0008-0000-0000-000028000000}"/>
            </a:ext>
          </a:extLst>
        </xdr:cNvPr>
        <xdr:cNvSpPr>
          <a:spLocks noChangeArrowheads="1"/>
        </xdr:cNvSpPr>
      </xdr:nvSpPr>
      <xdr:spPr bwMode="auto">
        <a:xfrm>
          <a:off x="6410583" y="6848475"/>
          <a:ext cx="75942" cy="495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66675</xdr:rowOff>
    </xdr:from>
    <xdr:to>
      <xdr:col>10</xdr:col>
      <xdr:colOff>0</xdr:colOff>
      <xdr:row>3</xdr:row>
      <xdr:rowOff>0</xdr:rowOff>
    </xdr:to>
    <xdr:sp macro="" textlink="">
      <xdr:nvSpPr>
        <xdr:cNvPr id="2" name="Text Box 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7200900" y="647700"/>
          <a:ext cx="1524000" cy="133350"/>
        </a:xfrm>
        <a:prstGeom prst="rect">
          <a:avLst/>
        </a:prstGeom>
        <a:solidFill>
          <a:srgbClr xmlns:mc="http://schemas.openxmlformats.org/markup-compatibility/2006" xmlns:a14="http://schemas.microsoft.com/office/drawing/2010/main" val="9B9B95" mc:Ignorable="a14" a14:legacySpreadsheetColorIndex="12"/>
        </a:solidFill>
        <a:ln>
          <a:noFill/>
        </a:ln>
        <a:effectLst>
          <a:prstShdw prst="shdw17" dist="17961" dir="2700000">
            <a:srgbClr xmlns:mc="http://schemas.openxmlformats.org/markup-compatibility/2006" xmlns:a14="http://schemas.microsoft.com/office/drawing/2010/main" val="5D5D59" mc:Ignorable="a14" a14:legacySpreadsheetColorIndex="12">
              <a:gamma/>
              <a:shade val="60000"/>
              <a:invGamma/>
            </a:srgbClr>
          </a:prstShdw>
        </a:effectLst>
        <a:extLst>
          <a:ext uri="{91240B29-F687-4F45-9708-019B960494DF}">
            <a14:hiddenLine xmlns:a14="http://schemas.microsoft.com/office/drawing/2010/main" w="9525">
              <a:solidFill>
                <a:srgbClr xmlns:mc="http://schemas.openxmlformats.org/markup-compatibility/2006" val="CDCDCD" mc:Ignorable="a14" a14:legacySpreadsheetColorIndex="53"/>
              </a:solidFill>
              <a:miter lim="800000"/>
              <a:headEnd/>
              <a:tailEnd/>
            </a14:hiddenLine>
          </a:ext>
        </a:extLst>
      </xdr:spPr>
      <xdr:txBody>
        <a:bodyPr vertOverflow="clip" wrap="square" lIns="27432" tIns="18288" rIns="27432" bIns="18288" anchor="ctr" upright="1"/>
        <a:lstStyle/>
        <a:p>
          <a:pPr algn="ctr" rtl="0">
            <a:defRPr sz="1000"/>
          </a:pPr>
          <a:r>
            <a:rPr lang="en-GB" sz="700" b="0" i="0" u="none" strike="noStrike" baseline="0">
              <a:solidFill>
                <a:srgbClr val="FFFFFF"/>
              </a:solidFill>
              <a:latin typeface="Small Fonts"/>
            </a:rPr>
            <a:t>[ c o l o n nz   d e   n a v i g a t i o n ]</a:t>
          </a:r>
        </a:p>
      </xdr:txBody>
    </xdr:sp>
    <xdr:clientData/>
  </xdr:twoCellAnchor>
  <xdr:oneCellAnchor>
    <xdr:from>
      <xdr:col>0</xdr:col>
      <xdr:colOff>371898</xdr:colOff>
      <xdr:row>1</xdr:row>
      <xdr:rowOff>107279</xdr:rowOff>
    </xdr:from>
    <xdr:ext cx="155364" cy="221407"/>
    <xdr:sp macro="" textlink="">
      <xdr:nvSpPr>
        <xdr:cNvPr id="3" name="Text Box 7">
          <a:extLst>
            <a:ext uri="{FF2B5EF4-FFF2-40B4-BE49-F238E27FC236}">
              <a16:creationId xmlns:a16="http://schemas.microsoft.com/office/drawing/2014/main" xmlns="" id="{00000000-0008-0000-0100-000003000000}"/>
            </a:ext>
          </a:extLst>
        </xdr:cNvPr>
        <xdr:cNvSpPr txBox="1">
          <a:spLocks noChangeArrowheads="1"/>
        </xdr:cNvSpPr>
      </xdr:nvSpPr>
      <xdr:spPr bwMode="auto">
        <a:xfrm>
          <a:off x="371898" y="307304"/>
          <a:ext cx="155364" cy="221407"/>
        </a:xfrm>
        <a:prstGeom prst="rect">
          <a:avLst/>
        </a:prstGeom>
        <a:solidFill>
          <a:srgbClr xmlns:mc="http://schemas.openxmlformats.org/markup-compatibility/2006" xmlns:a14="http://schemas.microsoft.com/office/drawing/2010/main" val="EB0505" mc:Ignorable="a14" a14:legacySpreadsheetColorIndex="14"/>
        </a:solidFill>
        <a:ln>
          <a:noFill/>
        </a:ln>
        <a:effectLst>
          <a:prstShdw prst="shdw17" dist="17961" dir="2700000">
            <a:srgbClr xmlns:mc="http://schemas.openxmlformats.org/markup-compatibility/2006" xmlns:a14="http://schemas.microsoft.com/office/drawing/2010/main" val="8D0303" mc:Ignorable="a14" a14:legacySpreadsheetColorIndex="14">
              <a:gamma/>
              <a:shade val="60000"/>
              <a:invGamma/>
            </a:srgbClr>
          </a:prstShdw>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36576" tIns="22860" rIns="36576" bIns="22860" anchor="ctr" upright="1">
          <a:spAutoFit/>
        </a:bodyPr>
        <a:lstStyle/>
        <a:p>
          <a:pPr algn="ctr" rtl="0">
            <a:defRPr sz="1000"/>
          </a:pPr>
          <a:r>
            <a:rPr lang="en-GB" sz="1200" b="0" i="0" u="none" strike="noStrike" baseline="0">
              <a:solidFill>
                <a:srgbClr val="FFFFFF"/>
              </a:solidFill>
              <a:latin typeface="Wingdings 3"/>
            </a:rPr>
            <a:t>}</a:t>
          </a:r>
        </a:p>
      </xdr:txBody>
    </xdr:sp>
    <xdr:clientData/>
  </xdr:oneCellAnchor>
  <mc:AlternateContent xmlns:mc="http://schemas.openxmlformats.org/markup-compatibility/2006">
    <mc:Choice xmlns:a14="http://schemas.microsoft.com/office/drawing/2010/main" Requires="a14">
      <xdr:twoCellAnchor editAs="oneCell">
        <xdr:from>
          <xdr:col>4</xdr:col>
          <xdr:colOff>266700</xdr:colOff>
          <xdr:row>10</xdr:row>
          <xdr:rowOff>30480</xdr:rowOff>
        </xdr:from>
        <xdr:to>
          <xdr:col>4</xdr:col>
          <xdr:colOff>1036320</xdr:colOff>
          <xdr:row>11</xdr:row>
          <xdr:rowOff>0</xdr:rowOff>
        </xdr:to>
        <xdr:sp macro="" textlink="">
          <xdr:nvSpPr>
            <xdr:cNvPr id="10241" name="Drop Down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1036320</xdr:colOff>
          <xdr:row>10</xdr:row>
          <xdr:rowOff>22860</xdr:rowOff>
        </xdr:from>
        <xdr:to>
          <xdr:col>5</xdr:col>
          <xdr:colOff>0</xdr:colOff>
          <xdr:row>10</xdr:row>
          <xdr:rowOff>190500</xdr:rowOff>
        </xdr:to>
        <xdr:sp macro="" textlink="">
          <xdr:nvSpPr>
            <xdr:cNvPr id="10242" name="Drop Down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xdr:twoCellAnchor editAs="oneCell">
    <xdr:from>
      <xdr:col>2</xdr:col>
      <xdr:colOff>1402080</xdr:colOff>
      <xdr:row>20</xdr:row>
      <xdr:rowOff>0</xdr:rowOff>
    </xdr:from>
    <xdr:to>
      <xdr:col>2</xdr:col>
      <xdr:colOff>1612562</xdr:colOff>
      <xdr:row>21</xdr:row>
      <xdr:rowOff>0</xdr:rowOff>
    </xdr:to>
    <xdr:sp macro="" textlink="">
      <xdr:nvSpPr>
        <xdr:cNvPr id="6" name="Text Box 33">
          <a:extLst>
            <a:ext uri="{FF2B5EF4-FFF2-40B4-BE49-F238E27FC236}">
              <a16:creationId xmlns:a16="http://schemas.microsoft.com/office/drawing/2014/main" xmlns="" id="{00000000-0008-0000-0100-000006000000}"/>
            </a:ext>
          </a:extLst>
        </xdr:cNvPr>
        <xdr:cNvSpPr txBox="1">
          <a:spLocks noChangeArrowheads="1"/>
        </xdr:cNvSpPr>
      </xdr:nvSpPr>
      <xdr:spPr bwMode="auto">
        <a:xfrm>
          <a:off x="3392805" y="25812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[a]</a:t>
          </a:r>
        </a:p>
      </xdr:txBody>
    </xdr:sp>
    <xdr:clientData/>
  </xdr:twoCellAnchor>
  <xdr:twoCellAnchor editAs="oneCell">
    <xdr:from>
      <xdr:col>2</xdr:col>
      <xdr:colOff>1402080</xdr:colOff>
      <xdr:row>21</xdr:row>
      <xdr:rowOff>0</xdr:rowOff>
    </xdr:from>
    <xdr:to>
      <xdr:col>2</xdr:col>
      <xdr:colOff>1612562</xdr:colOff>
      <xdr:row>22</xdr:row>
      <xdr:rowOff>0</xdr:rowOff>
    </xdr:to>
    <xdr:sp macro="" textlink="">
      <xdr:nvSpPr>
        <xdr:cNvPr id="7" name="Text Box 34">
          <a:extLst>
            <a:ext uri="{FF2B5EF4-FFF2-40B4-BE49-F238E27FC236}">
              <a16:creationId xmlns:a16="http://schemas.microsoft.com/office/drawing/2014/main" xmlns="" id="{00000000-0008-0000-0100-000007000000}"/>
            </a:ext>
          </a:extLst>
        </xdr:cNvPr>
        <xdr:cNvSpPr txBox="1">
          <a:spLocks noChangeArrowheads="1"/>
        </xdr:cNvSpPr>
      </xdr:nvSpPr>
      <xdr:spPr bwMode="auto">
        <a:xfrm>
          <a:off x="3392805" y="278130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[b]</a:t>
          </a:r>
        </a:p>
      </xdr:txBody>
    </xdr:sp>
    <xdr:clientData/>
  </xdr:twoCellAnchor>
  <xdr:twoCellAnchor editAs="oneCell">
    <xdr:from>
      <xdr:col>2</xdr:col>
      <xdr:colOff>1402080</xdr:colOff>
      <xdr:row>23</xdr:row>
      <xdr:rowOff>0</xdr:rowOff>
    </xdr:from>
    <xdr:to>
      <xdr:col>2</xdr:col>
      <xdr:colOff>1612562</xdr:colOff>
      <xdr:row>24</xdr:row>
      <xdr:rowOff>0</xdr:rowOff>
    </xdr:to>
    <xdr:sp macro="" textlink="">
      <xdr:nvSpPr>
        <xdr:cNvPr id="8" name="Text Box 35">
          <a:extLst>
            <a:ext uri="{FF2B5EF4-FFF2-40B4-BE49-F238E27FC236}">
              <a16:creationId xmlns:a16="http://schemas.microsoft.com/office/drawing/2014/main" xmlns="" id="{00000000-0008-0000-0100-000008000000}"/>
            </a:ext>
          </a:extLst>
        </xdr:cNvPr>
        <xdr:cNvSpPr txBox="1">
          <a:spLocks noChangeArrowheads="1"/>
        </xdr:cNvSpPr>
      </xdr:nvSpPr>
      <xdr:spPr bwMode="auto">
        <a:xfrm>
          <a:off x="3392805" y="3181350"/>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[c]</a:t>
          </a:r>
        </a:p>
      </xdr:txBody>
    </xdr:sp>
    <xdr:clientData/>
  </xdr:twoCellAnchor>
  <xdr:twoCellAnchor editAs="oneCell">
    <xdr:from>
      <xdr:col>2</xdr:col>
      <xdr:colOff>1402080</xdr:colOff>
      <xdr:row>24</xdr:row>
      <xdr:rowOff>0</xdr:rowOff>
    </xdr:from>
    <xdr:to>
      <xdr:col>2</xdr:col>
      <xdr:colOff>1612562</xdr:colOff>
      <xdr:row>25</xdr:row>
      <xdr:rowOff>0</xdr:rowOff>
    </xdr:to>
    <xdr:sp macro="" textlink="">
      <xdr:nvSpPr>
        <xdr:cNvPr id="9" name="Text Box 36">
          <a:extLst>
            <a:ext uri="{FF2B5EF4-FFF2-40B4-BE49-F238E27FC236}">
              <a16:creationId xmlns:a16="http://schemas.microsoft.com/office/drawing/2014/main" xmlns="" id="{00000000-0008-0000-0100-000009000000}"/>
            </a:ext>
          </a:extLst>
        </xdr:cNvPr>
        <xdr:cNvSpPr txBox="1">
          <a:spLocks noChangeArrowheads="1"/>
        </xdr:cNvSpPr>
      </xdr:nvSpPr>
      <xdr:spPr bwMode="auto">
        <a:xfrm>
          <a:off x="3392805" y="3381375"/>
          <a:ext cx="21048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nl-BE" sz="800" b="0" i="0" u="none" strike="noStrike" baseline="0">
              <a:solidFill>
                <a:srgbClr val="000000"/>
              </a:solidFill>
              <a:latin typeface="Tahoma"/>
              <a:ea typeface="Tahoma"/>
              <a:cs typeface="Tahoma"/>
            </a:rPr>
            <a:t>[d]</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13</xdr:row>
          <xdr:rowOff>22860</xdr:rowOff>
        </xdr:from>
        <xdr:to>
          <xdr:col>5</xdr:col>
          <xdr:colOff>0</xdr:colOff>
          <xdr:row>14</xdr:row>
          <xdr:rowOff>0</xdr:rowOff>
        </xdr:to>
        <xdr:sp macro="" textlink="">
          <xdr:nvSpPr>
            <xdr:cNvPr id="10247" name="Drop Down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10</xdr:row>
          <xdr:rowOff>30480</xdr:rowOff>
        </xdr:from>
        <xdr:to>
          <xdr:col>4</xdr:col>
          <xdr:colOff>251460</xdr:colOff>
          <xdr:row>11</xdr:row>
          <xdr:rowOff>0</xdr:rowOff>
        </xdr:to>
        <xdr:sp macro="" textlink="">
          <xdr:nvSpPr>
            <xdr:cNvPr id="10253" name="Drop Down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22860</xdr:rowOff>
        </xdr:from>
        <xdr:to>
          <xdr:col>4</xdr:col>
          <xdr:colOff>708660</xdr:colOff>
          <xdr:row>12</xdr:row>
          <xdr:rowOff>182880</xdr:rowOff>
        </xdr:to>
        <xdr:sp macro="" textlink="">
          <xdr:nvSpPr>
            <xdr:cNvPr id="10254" name="Scroll Bar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2</xdr:col>
          <xdr:colOff>266700</xdr:colOff>
          <xdr:row>12</xdr:row>
          <xdr:rowOff>190500</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r-BE" sz="800" b="0" i="0" u="none" strike="noStrike" baseline="0">
                  <a:solidFill>
                    <a:srgbClr val="000000"/>
                  </a:solidFill>
                  <a:latin typeface="Tahoma"/>
                  <a:ea typeface="Tahoma"/>
                  <a:cs typeface="Tahoma"/>
                </a:rPr>
                <a:t>Voiture livrée en 2020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335280</xdr:colOff>
          <xdr:row>4</xdr:row>
          <xdr:rowOff>182880</xdr:rowOff>
        </xdr:from>
        <xdr:to>
          <xdr:col>3</xdr:col>
          <xdr:colOff>1562100</xdr:colOff>
          <xdr:row>6</xdr:row>
          <xdr:rowOff>22860</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fr-BE" sz="800" b="0" i="0" u="none" strike="noStrike" baseline="0">
                  <a:solidFill>
                    <a:srgbClr val="000000"/>
                  </a:solidFill>
                  <a:latin typeface="Tahoma"/>
                  <a:ea typeface="Tahoma"/>
                  <a:cs typeface="Tahoma"/>
                </a:rPr>
                <a:t>"Faux hybride"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xdr:row>
          <xdr:rowOff>22860</xdr:rowOff>
        </xdr:from>
        <xdr:to>
          <xdr:col>4</xdr:col>
          <xdr:colOff>708660</xdr:colOff>
          <xdr:row>11</xdr:row>
          <xdr:rowOff>182880</xdr:rowOff>
        </xdr:to>
        <xdr:sp macro="" textlink="">
          <xdr:nvSpPr>
            <xdr:cNvPr id="10261" name="Scroll Bar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22860</xdr:rowOff>
        </xdr:from>
        <xdr:to>
          <xdr:col>4</xdr:col>
          <xdr:colOff>1569720</xdr:colOff>
          <xdr:row>6</xdr:row>
          <xdr:rowOff>190500</xdr:rowOff>
        </xdr:to>
        <xdr:sp macro="" textlink="">
          <xdr:nvSpPr>
            <xdr:cNvPr id="10264" name="Drop Down 24" hidden="1">
              <a:extLst>
                <a:ext uri="{63B3BB69-23CF-44E3-9099-C40C66FF867C}">
                  <a14:compatExt spid="_x0000_s10264"/>
                </a:ext>
              </a:extLst>
            </xdr:cNvPr>
            <xdr:cNvSpPr/>
          </xdr:nvSpPr>
          <xdr:spPr>
            <a:xfrm>
              <a:off x="0" y="0"/>
              <a:ext cx="0" cy="0"/>
            </a:xfrm>
            <a:prstGeom prst="rect">
              <a:avLst/>
            </a:prstGeom>
          </xdr:spPr>
        </xdr:sp>
        <xdr:clientData/>
      </xdr:twoCellAnchor>
    </mc:Choice>
    <mc:Fallback/>
  </mc:AlternateContent>
  <xdr:twoCellAnchor editAs="oneCell">
    <xdr:from>
      <xdr:col>4</xdr:col>
      <xdr:colOff>342900</xdr:colOff>
      <xdr:row>2</xdr:row>
      <xdr:rowOff>76199</xdr:rowOff>
    </xdr:from>
    <xdr:to>
      <xdr:col>4</xdr:col>
      <xdr:colOff>1162050</xdr:colOff>
      <xdr:row>3</xdr:row>
      <xdr:rowOff>38099</xdr:rowOff>
    </xdr:to>
    <xdr:sp macro="" textlink="">
      <xdr:nvSpPr>
        <xdr:cNvPr id="18" name="Text Box 37">
          <a:extLst>
            <a:ext uri="{FF2B5EF4-FFF2-40B4-BE49-F238E27FC236}">
              <a16:creationId xmlns:a16="http://schemas.microsoft.com/office/drawing/2014/main" xmlns="" id="{00000000-0008-0000-0100-000012000000}"/>
            </a:ext>
          </a:extLst>
        </xdr:cNvPr>
        <xdr:cNvSpPr txBox="1">
          <a:spLocks noChangeArrowheads="1"/>
        </xdr:cNvSpPr>
      </xdr:nvSpPr>
      <xdr:spPr bwMode="auto">
        <a:xfrm>
          <a:off x="5734050" y="657224"/>
          <a:ext cx="819150" cy="161925"/>
        </a:xfrm>
        <a:prstGeom prst="rect">
          <a:avLst/>
        </a:prstGeom>
        <a:solidFill>
          <a:srgbClr val="FF0000"/>
        </a:solidFill>
        <a:ln>
          <a:noFill/>
        </a:ln>
        <a:effectLst/>
      </xdr:spPr>
      <xdr:txBody>
        <a:bodyPr vertOverflow="clip" wrap="square" lIns="36576" tIns="18288" rIns="36576" bIns="0" anchor="t" upright="1"/>
        <a:lstStyle/>
        <a:p>
          <a:pPr algn="ctr" rtl="0">
            <a:defRPr sz="1000"/>
          </a:pPr>
          <a:r>
            <a:rPr lang="en-GB" sz="800" b="0" i="0" u="none" strike="noStrike" baseline="0">
              <a:solidFill>
                <a:srgbClr val="FFFFFF"/>
              </a:solidFill>
              <a:latin typeface="Wingdings 3"/>
            </a:rPr>
            <a:t>È</a:t>
          </a:r>
          <a:r>
            <a:rPr lang="en-GB" sz="700" b="0" i="0" u="none" strike="noStrike" baseline="0">
              <a:solidFill>
                <a:srgbClr val="FFFFFF"/>
              </a:solidFill>
              <a:latin typeface="Small Fonts"/>
            </a:rPr>
            <a:t> complétez </a:t>
          </a:r>
          <a:r>
            <a:rPr lang="en-GB" sz="800" b="0" i="0" u="none" strike="noStrike" baseline="0">
              <a:solidFill>
                <a:srgbClr val="FFFFFF"/>
              </a:solidFill>
              <a:latin typeface="Wingdings 3"/>
              <a:ea typeface="Tahoma"/>
              <a:cs typeface="Tahoma"/>
            </a:rPr>
            <a:t>È</a:t>
          </a:r>
          <a:endParaRPr lang="en-GB" sz="800" b="0" i="0" u="none" strike="noStrike" baseline="0">
            <a:solidFill>
              <a:srgbClr val="FFFFFF"/>
            </a:solidFill>
            <a:latin typeface="Wingdings 3"/>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7620</xdr:colOff>
          <xdr:row>17</xdr:row>
          <xdr:rowOff>22860</xdr:rowOff>
        </xdr:from>
        <xdr:to>
          <xdr:col>4</xdr:col>
          <xdr:colOff>693420</xdr:colOff>
          <xdr:row>17</xdr:row>
          <xdr:rowOff>182880</xdr:rowOff>
        </xdr:to>
        <xdr:sp macro="" textlink="">
          <xdr:nvSpPr>
            <xdr:cNvPr id="10268" name="Scroll Bar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38101</xdr:colOff>
      <xdr:row>27</xdr:row>
      <xdr:rowOff>19049</xdr:rowOff>
    </xdr:from>
    <xdr:to>
      <xdr:col>17</xdr:col>
      <xdr:colOff>581025</xdr:colOff>
      <xdr:row>27</xdr:row>
      <xdr:rowOff>114300</xdr:rowOff>
    </xdr:to>
    <xdr:sp macro="" textlink="">
      <xdr:nvSpPr>
        <xdr:cNvPr id="2" name="Arrow: Right 1">
          <a:extLst>
            <a:ext uri="{FF2B5EF4-FFF2-40B4-BE49-F238E27FC236}">
              <a16:creationId xmlns:a16="http://schemas.microsoft.com/office/drawing/2014/main" xmlns="" id="{00000000-0008-0000-0200-000002000000}"/>
            </a:ext>
          </a:extLst>
        </xdr:cNvPr>
        <xdr:cNvSpPr/>
      </xdr:nvSpPr>
      <xdr:spPr bwMode="auto">
        <a:xfrm>
          <a:off x="4171951" y="4571999"/>
          <a:ext cx="25717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twoCellAnchor>
    <xdr:from>
      <xdr:col>17</xdr:col>
      <xdr:colOff>57151</xdr:colOff>
      <xdr:row>26</xdr:row>
      <xdr:rowOff>47624</xdr:rowOff>
    </xdr:from>
    <xdr:to>
      <xdr:col>17</xdr:col>
      <xdr:colOff>600075</xdr:colOff>
      <xdr:row>26</xdr:row>
      <xdr:rowOff>142875</xdr:rowOff>
    </xdr:to>
    <xdr:sp macro="" textlink="">
      <xdr:nvSpPr>
        <xdr:cNvPr id="3" name="Arrow: Right 2">
          <a:extLst>
            <a:ext uri="{FF2B5EF4-FFF2-40B4-BE49-F238E27FC236}">
              <a16:creationId xmlns:a16="http://schemas.microsoft.com/office/drawing/2014/main" xmlns="" id="{00000000-0008-0000-0200-000003000000}"/>
            </a:ext>
          </a:extLst>
        </xdr:cNvPr>
        <xdr:cNvSpPr/>
      </xdr:nvSpPr>
      <xdr:spPr bwMode="auto">
        <a:xfrm>
          <a:off x="4191001" y="4438649"/>
          <a:ext cx="238124" cy="95251"/>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_vandenbosch_indicator-larcier_be/Documents/Excel-tools/Auto/2020/Fiscale%20aftrekbaarheid%20autokosten%20-%20nieuwe%20regels%20vanaf%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
      <sheetName val="calc"/>
    </sheetNames>
    <sheetDataSet>
      <sheetData sheetId="0" refreshError="1"/>
      <sheetData sheetId="1">
        <row r="8">
          <cell r="D8">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fitToPage="1"/>
  </sheetPr>
  <dimension ref="A1:AQ46"/>
  <sheetViews>
    <sheetView showGridLines="0" showRowColHeaders="0" tabSelected="1" workbookViewId="0"/>
  </sheetViews>
  <sheetFormatPr baseColWidth="10" defaultColWidth="5.75" defaultRowHeight="20.100000000000001" customHeight="1" x14ac:dyDescent="0.2"/>
  <cols>
    <col min="1" max="1" width="5.75" style="2" customWidth="1"/>
    <col min="2" max="2" width="2.75" style="2" customWidth="1"/>
    <col min="3" max="3" width="4.25" style="2" customWidth="1"/>
    <col min="4" max="4" width="7.125" style="2" customWidth="1"/>
    <col min="5" max="16" width="5.75" style="2" customWidth="1"/>
    <col min="17" max="17" width="8.875" style="2" customWidth="1"/>
    <col min="18" max="18" width="8.25" style="2" customWidth="1"/>
    <col min="19" max="19" width="2.75" style="2" customWidth="1"/>
    <col min="20" max="23" width="5.75" style="2" customWidth="1"/>
    <col min="24" max="24" width="7.375" style="2" bestFit="1" customWidth="1"/>
    <col min="25" max="27" width="5.75" style="2" customWidth="1"/>
    <col min="28" max="28" width="8.375" style="2" customWidth="1"/>
    <col min="29" max="16384" width="5.75" style="2"/>
  </cols>
  <sheetData>
    <row r="1" spans="1:43" ht="20.10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20.100000000000001" customHeight="1" x14ac:dyDescent="0.2">
      <c r="A2" s="1"/>
      <c r="B2"/>
      <c r="C2"/>
      <c r="D2"/>
      <c r="E2"/>
      <c r="F2"/>
      <c r="G2"/>
      <c r="H2"/>
      <c r="I2"/>
      <c r="J2"/>
      <c r="K2"/>
      <c r="L2"/>
      <c r="M2"/>
      <c r="N2"/>
      <c r="O2"/>
      <c r="P2"/>
      <c r="Q2"/>
      <c r="R2"/>
      <c r="S2"/>
      <c r="T2" s="1"/>
      <c r="U2" s="1"/>
      <c r="V2" s="1"/>
      <c r="W2" s="1"/>
      <c r="X2" s="1"/>
      <c r="Y2" s="1"/>
      <c r="Z2" s="1"/>
      <c r="AA2" s="1"/>
      <c r="AB2" s="1"/>
      <c r="AC2" s="1"/>
      <c r="AD2" s="1"/>
      <c r="AE2" s="1"/>
      <c r="AF2" s="1"/>
      <c r="AG2" s="1"/>
      <c r="AH2" s="1"/>
      <c r="AI2" s="1"/>
      <c r="AJ2" s="1"/>
      <c r="AK2" s="1"/>
      <c r="AL2" s="1"/>
      <c r="AM2" s="1"/>
      <c r="AN2" s="1"/>
      <c r="AO2" s="1"/>
      <c r="AP2" s="1"/>
      <c r="AQ2" s="1"/>
    </row>
    <row r="3" spans="1:43" ht="120" customHeight="1" x14ac:dyDescent="0.2">
      <c r="A3" s="1"/>
      <c r="B3"/>
      <c r="C3"/>
      <c r="D3"/>
      <c r="E3"/>
      <c r="F3"/>
      <c r="G3"/>
      <c r="H3"/>
      <c r="I3"/>
      <c r="J3"/>
      <c r="K3"/>
      <c r="L3"/>
      <c r="M3"/>
      <c r="N3"/>
      <c r="O3"/>
      <c r="P3"/>
      <c r="Q3"/>
      <c r="R3"/>
      <c r="S3"/>
      <c r="T3" s="1"/>
      <c r="U3" s="1"/>
      <c r="V3" s="1"/>
      <c r="W3" s="1"/>
      <c r="X3" s="1"/>
      <c r="Y3" s="1"/>
      <c r="Z3" s="1"/>
      <c r="AA3" s="1"/>
      <c r="AB3" s="1"/>
      <c r="AC3" s="1"/>
      <c r="AD3" s="1"/>
      <c r="AE3" s="1"/>
      <c r="AF3" s="1"/>
      <c r="AG3" s="1"/>
      <c r="AH3" s="1"/>
      <c r="AI3" s="1"/>
      <c r="AJ3" s="1"/>
      <c r="AK3" s="1"/>
      <c r="AL3" s="1"/>
      <c r="AM3" s="1"/>
      <c r="AN3" s="1"/>
      <c r="AO3" s="1"/>
      <c r="AP3" s="1"/>
      <c r="AQ3" s="1"/>
    </row>
    <row r="4" spans="1:43" ht="20.100000000000001" customHeight="1" x14ac:dyDescent="0.2">
      <c r="A4" s="1"/>
      <c r="B4"/>
      <c r="C4" s="96" t="s">
        <v>36</v>
      </c>
      <c r="D4"/>
      <c r="E4"/>
      <c r="F4"/>
      <c r="G4"/>
      <c r="H4"/>
      <c r="I4"/>
      <c r="J4"/>
      <c r="K4"/>
      <c r="L4"/>
      <c r="M4" s="49"/>
      <c r="N4" s="49"/>
      <c r="O4" s="49"/>
      <c r="P4" s="49"/>
      <c r="Q4"/>
      <c r="R4" s="48"/>
      <c r="S4"/>
      <c r="T4" s="1"/>
      <c r="U4" s="1"/>
      <c r="V4" s="1"/>
      <c r="W4" s="1"/>
      <c r="X4" s="1"/>
      <c r="Y4" s="1"/>
      <c r="Z4" s="1"/>
      <c r="AA4" s="1"/>
      <c r="AB4" s="1"/>
      <c r="AC4" s="1"/>
      <c r="AD4" s="1"/>
      <c r="AE4" s="1"/>
      <c r="AF4" s="1"/>
      <c r="AG4" s="1"/>
      <c r="AH4" s="1"/>
      <c r="AI4" s="1"/>
      <c r="AJ4" s="1"/>
      <c r="AK4" s="1"/>
      <c r="AL4" s="1"/>
      <c r="AM4" s="1"/>
      <c r="AN4" s="1"/>
      <c r="AO4" s="1"/>
      <c r="AP4" s="1"/>
      <c r="AQ4" s="1"/>
    </row>
    <row r="5" spans="1:43" ht="20.100000000000001" customHeight="1" x14ac:dyDescent="0.2">
      <c r="A5" s="1"/>
      <c r="B5"/>
      <c r="C5"/>
      <c r="D5"/>
      <c r="E5"/>
      <c r="F5"/>
      <c r="G5"/>
      <c r="H5"/>
      <c r="I5"/>
      <c r="J5"/>
      <c r="K5"/>
      <c r="L5"/>
      <c r="M5"/>
      <c r="N5"/>
      <c r="O5"/>
      <c r="P5"/>
      <c r="Q5"/>
      <c r="R5"/>
      <c r="S5"/>
      <c r="T5" s="1"/>
      <c r="U5" s="1"/>
      <c r="V5" s="1"/>
      <c r="W5" s="1"/>
      <c r="X5" s="1"/>
      <c r="Y5" s="1"/>
      <c r="Z5" s="1"/>
      <c r="AA5" s="1"/>
      <c r="AB5" s="1"/>
      <c r="AC5" s="1"/>
      <c r="AD5" s="1"/>
      <c r="AE5" s="1"/>
      <c r="AF5" s="1"/>
      <c r="AG5" s="1"/>
      <c r="AH5" s="1"/>
      <c r="AI5" s="1"/>
      <c r="AJ5" s="1"/>
      <c r="AK5" s="1"/>
      <c r="AL5" s="1"/>
      <c r="AM5" s="1"/>
      <c r="AN5" s="1"/>
      <c r="AO5" s="1"/>
      <c r="AP5" s="1"/>
      <c r="AQ5" s="1"/>
    </row>
    <row r="6" spans="1:43" ht="20.100000000000001" customHeight="1" x14ac:dyDescent="0.2">
      <c r="A6" s="1"/>
      <c r="B6"/>
      <c r="C6" s="3"/>
      <c r="D6" s="102" t="s">
        <v>40</v>
      </c>
      <c r="E6" s="103"/>
      <c r="F6" s="103"/>
      <c r="G6" s="103"/>
      <c r="H6" s="103"/>
      <c r="I6" s="103"/>
      <c r="J6" s="103"/>
      <c r="K6" s="103"/>
      <c r="L6" s="103"/>
      <c r="M6" s="103"/>
      <c r="N6" s="103"/>
      <c r="O6" s="103"/>
      <c r="P6" s="103"/>
      <c r="Q6" s="103"/>
      <c r="R6" s="103"/>
      <c r="S6"/>
      <c r="T6" s="1"/>
      <c r="U6" s="1"/>
      <c r="V6" s="1"/>
      <c r="W6" s="1"/>
      <c r="X6" s="1"/>
      <c r="Y6" s="1"/>
      <c r="Z6" s="1"/>
      <c r="AA6" s="1"/>
      <c r="AB6" s="1"/>
      <c r="AC6" s="1"/>
      <c r="AD6" s="1"/>
      <c r="AE6" s="1"/>
      <c r="AF6" s="1"/>
      <c r="AG6" s="1"/>
      <c r="AH6" s="1"/>
      <c r="AI6" s="1"/>
      <c r="AJ6" s="1"/>
      <c r="AK6" s="1"/>
      <c r="AL6" s="1"/>
      <c r="AM6" s="1"/>
      <c r="AN6" s="1"/>
      <c r="AO6" s="1"/>
      <c r="AP6" s="1"/>
      <c r="AQ6" s="1"/>
    </row>
    <row r="7" spans="1:43" ht="20.100000000000001" customHeight="1" x14ac:dyDescent="0.2">
      <c r="A7" s="1"/>
      <c r="B7"/>
      <c r="C7"/>
      <c r="D7"/>
      <c r="E7"/>
      <c r="F7"/>
      <c r="G7"/>
      <c r="H7"/>
      <c r="I7"/>
      <c r="J7"/>
      <c r="K7"/>
      <c r="L7"/>
      <c r="M7"/>
      <c r="N7"/>
      <c r="O7"/>
      <c r="P7"/>
      <c r="Q7"/>
      <c r="R7"/>
      <c r="S7"/>
      <c r="T7" s="1"/>
      <c r="U7" s="1"/>
      <c r="V7" s="1"/>
      <c r="W7" s="1"/>
      <c r="X7" s="1"/>
      <c r="Y7" s="1"/>
      <c r="Z7" s="1"/>
      <c r="AA7" s="1"/>
      <c r="AB7" s="1"/>
      <c r="AC7" s="1"/>
      <c r="AD7" s="1"/>
      <c r="AE7" s="1"/>
      <c r="AF7" s="1"/>
      <c r="AG7" s="1"/>
      <c r="AH7" s="1"/>
      <c r="AI7" s="1"/>
      <c r="AJ7" s="1"/>
      <c r="AK7" s="1"/>
      <c r="AL7" s="1"/>
      <c r="AM7" s="1"/>
      <c r="AN7" s="1"/>
      <c r="AO7" s="1"/>
      <c r="AP7" s="1"/>
      <c r="AQ7" s="1"/>
    </row>
    <row r="8" spans="1:43" ht="20.100000000000001" customHeight="1" x14ac:dyDescent="0.2">
      <c r="A8" s="1"/>
      <c r="B8"/>
      <c r="C8"/>
      <c r="D8"/>
      <c r="E8"/>
      <c r="F8"/>
      <c r="G8"/>
      <c r="H8"/>
      <c r="I8"/>
      <c r="J8"/>
      <c r="K8"/>
      <c r="L8"/>
      <c r="M8"/>
      <c r="N8"/>
      <c r="O8"/>
      <c r="P8"/>
      <c r="Q8"/>
      <c r="R8"/>
      <c r="S8"/>
      <c r="T8" s="1"/>
      <c r="U8" s="1"/>
      <c r="V8" s="1"/>
      <c r="W8" s="1"/>
      <c r="X8" s="1"/>
      <c r="Y8" s="1"/>
      <c r="Z8" s="1"/>
      <c r="AA8" s="1"/>
      <c r="AB8" s="1"/>
      <c r="AC8" s="1"/>
      <c r="AD8" s="1"/>
      <c r="AE8" s="1"/>
      <c r="AF8" s="1"/>
      <c r="AG8" s="1"/>
      <c r="AH8" s="1"/>
      <c r="AI8" s="1"/>
      <c r="AJ8" s="1"/>
      <c r="AK8" s="1"/>
      <c r="AL8" s="1"/>
      <c r="AM8" s="1"/>
      <c r="AN8" s="1"/>
      <c r="AO8" s="1"/>
      <c r="AP8" s="1"/>
      <c r="AQ8" s="1"/>
    </row>
    <row r="9" spans="1:43" ht="20.100000000000001" customHeight="1" x14ac:dyDescent="0.2">
      <c r="A9" s="1"/>
      <c r="B9"/>
      <c r="C9"/>
      <c r="D9"/>
      <c r="E9"/>
      <c r="F9"/>
      <c r="G9"/>
      <c r="H9"/>
      <c r="I9"/>
      <c r="J9"/>
      <c r="K9"/>
      <c r="L9"/>
      <c r="M9"/>
      <c r="N9"/>
      <c r="O9"/>
      <c r="P9"/>
      <c r="Q9"/>
      <c r="R9"/>
      <c r="S9"/>
      <c r="T9" s="1"/>
      <c r="U9" s="1"/>
      <c r="V9" s="1"/>
      <c r="W9" s="1"/>
      <c r="X9" s="1"/>
      <c r="Y9" s="1"/>
      <c r="Z9" s="1"/>
      <c r="AA9" s="1"/>
      <c r="AB9" s="1"/>
      <c r="AC9" s="1"/>
      <c r="AD9" s="1"/>
      <c r="AE9" s="1"/>
      <c r="AF9" s="1"/>
      <c r="AG9" s="1"/>
      <c r="AH9" s="1"/>
      <c r="AI9" s="1"/>
      <c r="AJ9" s="1"/>
      <c r="AK9" s="1"/>
      <c r="AL9" s="1"/>
      <c r="AM9" s="1"/>
      <c r="AN9" s="1"/>
      <c r="AO9" s="1"/>
      <c r="AP9" s="1"/>
      <c r="AQ9" s="1"/>
    </row>
    <row r="10" spans="1:43" ht="20.100000000000001" customHeight="1" x14ac:dyDescent="0.2">
      <c r="A10" s="1"/>
      <c r="B10"/>
      <c r="C10"/>
      <c r="D10"/>
      <c r="E10"/>
      <c r="F10"/>
      <c r="G10"/>
      <c r="H10"/>
      <c r="I10"/>
      <c r="J10"/>
      <c r="K10"/>
      <c r="L10"/>
      <c r="M10"/>
      <c r="N10"/>
      <c r="O10"/>
      <c r="P10"/>
      <c r="Q10"/>
      <c r="R10"/>
      <c r="S10"/>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20.100000000000001" customHeight="1" x14ac:dyDescent="0.2">
      <c r="A11" s="1"/>
      <c r="B11"/>
      <c r="C11"/>
      <c r="D11"/>
      <c r="E11"/>
      <c r="F11"/>
      <c r="G11"/>
      <c r="H11"/>
      <c r="I11"/>
      <c r="J11"/>
      <c r="K11"/>
      <c r="L11"/>
      <c r="M11"/>
      <c r="N11"/>
      <c r="O11"/>
      <c r="P11"/>
      <c r="Q11"/>
      <c r="R11"/>
      <c r="S1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20.100000000000001" customHeight="1" x14ac:dyDescent="0.2">
      <c r="A12" s="1"/>
      <c r="B12"/>
      <c r="C12"/>
      <c r="D12"/>
      <c r="E12"/>
      <c r="F12"/>
      <c r="G12"/>
      <c r="H12"/>
      <c r="I12"/>
      <c r="J12"/>
      <c r="K12"/>
      <c r="L12"/>
      <c r="M12"/>
      <c r="N12"/>
      <c r="O12"/>
      <c r="P12"/>
      <c r="Q12"/>
      <c r="R12"/>
      <c r="S12"/>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20.100000000000001" customHeight="1" x14ac:dyDescent="0.2">
      <c r="A13" s="1"/>
      <c r="B13"/>
      <c r="C13"/>
      <c r="D13"/>
      <c r="E13"/>
      <c r="F13"/>
      <c r="G13"/>
      <c r="H13"/>
      <c r="I13"/>
      <c r="J13"/>
      <c r="K13"/>
      <c r="L13"/>
      <c r="M13"/>
      <c r="N13"/>
      <c r="O13"/>
      <c r="P13"/>
      <c r="Q13"/>
      <c r="R13"/>
      <c r="S13"/>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20.100000000000001" customHeight="1" x14ac:dyDescent="0.2">
      <c r="A14" s="1"/>
      <c r="B14"/>
      <c r="C14" s="4"/>
      <c r="D14" s="97" t="s">
        <v>37</v>
      </c>
      <c r="E14"/>
      <c r="F14"/>
      <c r="G14"/>
      <c r="H14"/>
      <c r="I14"/>
      <c r="J14"/>
      <c r="K14"/>
      <c r="L14"/>
      <c r="M14"/>
      <c r="N14"/>
      <c r="O14"/>
      <c r="P14"/>
      <c r="Q14"/>
      <c r="R14"/>
      <c r="S14"/>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0.100000000000001" customHeight="1" x14ac:dyDescent="0.2">
      <c r="A15" s="1"/>
      <c r="B15"/>
      <c r="C15" s="5"/>
      <c r="D15"/>
      <c r="E15"/>
      <c r="F15"/>
      <c r="G15"/>
      <c r="H15"/>
      <c r="I15"/>
      <c r="J15"/>
      <c r="K15"/>
      <c r="L15"/>
      <c r="M15"/>
      <c r="N15"/>
      <c r="O15"/>
      <c r="P15"/>
      <c r="Q15"/>
      <c r="R15"/>
      <c r="S15"/>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20.100000000000001" customHeight="1" x14ac:dyDescent="0.2">
      <c r="A16" s="1"/>
      <c r="B16"/>
      <c r="C16"/>
      <c r="D16"/>
      <c r="E16"/>
      <c r="F16"/>
      <c r="G16"/>
      <c r="H16"/>
      <c r="I16"/>
      <c r="J16"/>
      <c r="K16"/>
      <c r="L16"/>
      <c r="M16"/>
      <c r="N16"/>
      <c r="O16"/>
      <c r="P16"/>
      <c r="Q16"/>
      <c r="R16"/>
      <c r="S16"/>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20.100000000000001" customHeight="1" x14ac:dyDescent="0.2">
      <c r="A17" s="1"/>
      <c r="B17"/>
      <c r="C17"/>
      <c r="D17"/>
      <c r="E17"/>
      <c r="F17"/>
      <c r="G17"/>
      <c r="H17"/>
      <c r="I17"/>
      <c r="J17"/>
      <c r="K17"/>
      <c r="L17"/>
      <c r="M17"/>
      <c r="N17"/>
      <c r="O17"/>
      <c r="P17"/>
      <c r="Q17"/>
      <c r="R17"/>
      <c r="S17"/>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20.100000000000001" customHeight="1" x14ac:dyDescent="0.2">
      <c r="A18" s="1"/>
      <c r="B18"/>
      <c r="C18"/>
      <c r="D18"/>
      <c r="E18"/>
      <c r="F18"/>
      <c r="G18"/>
      <c r="H18"/>
      <c r="I18"/>
      <c r="J18"/>
      <c r="K18"/>
      <c r="L18"/>
      <c r="M18"/>
      <c r="N18"/>
      <c r="O18"/>
      <c r="P18" s="99" t="s">
        <v>38</v>
      </c>
      <c r="Q18" s="99"/>
      <c r="R18"/>
      <c r="S18"/>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20.100000000000001" customHeight="1" x14ac:dyDescent="0.2">
      <c r="A19" s="1"/>
      <c r="B19"/>
      <c r="C19"/>
      <c r="D19"/>
      <c r="E19"/>
      <c r="F19"/>
      <c r="G19"/>
      <c r="H19"/>
      <c r="I19"/>
      <c r="J19"/>
      <c r="K19"/>
      <c r="L19"/>
      <c r="M19"/>
      <c r="N19"/>
      <c r="O19"/>
      <c r="P19"/>
      <c r="Q19"/>
      <c r="R19"/>
      <c r="S19"/>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20.100000000000001" customHeight="1" x14ac:dyDescent="0.2">
      <c r="A20" s="1"/>
      <c r="B20"/>
      <c r="C20"/>
      <c r="D20"/>
      <c r="E20"/>
      <c r="F20"/>
      <c r="G20"/>
      <c r="H20"/>
      <c r="I20"/>
      <c r="J20"/>
      <c r="K20"/>
      <c r="L20"/>
      <c r="M20"/>
      <c r="N20"/>
      <c r="O20"/>
      <c r="P20"/>
      <c r="Q20"/>
      <c r="R20"/>
      <c r="S20"/>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20.100000000000001" customHeight="1" x14ac:dyDescent="0.2">
      <c r="A21" s="1"/>
      <c r="B21"/>
      <c r="C21"/>
      <c r="D21"/>
      <c r="E21"/>
      <c r="F21"/>
      <c r="G21"/>
      <c r="H21"/>
      <c r="I21"/>
      <c r="J21"/>
      <c r="K21"/>
      <c r="L21"/>
      <c r="M21"/>
      <c r="N21"/>
      <c r="O21"/>
      <c r="P21"/>
      <c r="Q21"/>
      <c r="R21"/>
      <c r="S2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20.100000000000001" customHeight="1" x14ac:dyDescent="0.2">
      <c r="A22" s="1"/>
      <c r="B22"/>
      <c r="C22" s="65"/>
      <c r="D22" s="65"/>
      <c r="E22" s="65"/>
      <c r="F22" s="65"/>
      <c r="G22" s="65"/>
      <c r="H22" s="65"/>
      <c r="I22" s="65"/>
      <c r="J22" s="65"/>
      <c r="K22" s="65"/>
      <c r="L22" s="65"/>
      <c r="M22" s="65"/>
      <c r="N22" s="65"/>
      <c r="O22" s="65"/>
      <c r="P22" s="65"/>
      <c r="Q22" s="65"/>
      <c r="R22" s="65"/>
      <c r="S22"/>
      <c r="T22" s="1"/>
      <c r="U22" s="1"/>
      <c r="V22" s="1"/>
      <c r="W22" s="1"/>
      <c r="X22" s="1"/>
      <c r="Y22" s="1"/>
      <c r="Z22" s="1"/>
      <c r="AA22" s="1"/>
      <c r="AB22" s="1"/>
      <c r="AC22" s="1"/>
      <c r="AD22" s="1"/>
      <c r="AE22" s="1"/>
      <c r="AF22" s="1"/>
      <c r="AG22" s="1"/>
      <c r="AH22" s="1"/>
      <c r="AI22" s="1"/>
      <c r="AJ22" s="1"/>
      <c r="AK22" s="1"/>
      <c r="AL22" s="1"/>
      <c r="AM22" s="1"/>
      <c r="AN22" s="1"/>
      <c r="AO22" s="1"/>
      <c r="AP22" s="1"/>
      <c r="AQ22" s="1"/>
    </row>
    <row r="23" spans="1:43" ht="20.100000000000001" customHeight="1" x14ac:dyDescent="0.2">
      <c r="A23" s="1"/>
      <c r="B23"/>
      <c r="C23" s="104" t="s">
        <v>39</v>
      </c>
      <c r="D23" s="104"/>
      <c r="E23" s="104"/>
      <c r="F23" s="104"/>
      <c r="G23" s="104"/>
      <c r="H23" s="104"/>
      <c r="I23" s="104"/>
      <c r="J23" s="104"/>
      <c r="K23" s="104"/>
      <c r="L23" s="104"/>
      <c r="M23" s="104"/>
      <c r="N23" s="104"/>
      <c r="O23" s="104"/>
      <c r="P23" s="100" t="s">
        <v>14</v>
      </c>
      <c r="Q23" s="101"/>
      <c r="R23" s="66"/>
      <c r="S23"/>
      <c r="T23" s="1"/>
      <c r="U23" s="1"/>
      <c r="V23" s="1"/>
      <c r="W23" s="1"/>
      <c r="X23" s="1"/>
      <c r="Y23" s="1"/>
      <c r="Z23" s="1"/>
      <c r="AA23" s="1"/>
      <c r="AB23" s="1"/>
      <c r="AC23" s="1"/>
      <c r="AD23" s="1"/>
      <c r="AE23" s="1"/>
      <c r="AF23" s="1"/>
      <c r="AG23" s="1"/>
      <c r="AH23" s="1"/>
      <c r="AI23" s="1"/>
      <c r="AJ23" s="1"/>
      <c r="AK23" s="1"/>
      <c r="AL23" s="1"/>
      <c r="AM23" s="1"/>
      <c r="AN23" s="1"/>
      <c r="AO23" s="1"/>
      <c r="AP23" s="1"/>
      <c r="AQ23" s="1"/>
    </row>
    <row r="24" spans="1:43" ht="20.100000000000001" customHeight="1" x14ac:dyDescent="0.2">
      <c r="A24" s="1"/>
      <c r="B24"/>
      <c r="C24" s="104"/>
      <c r="D24" s="104"/>
      <c r="E24" s="104"/>
      <c r="F24" s="104"/>
      <c r="G24" s="104"/>
      <c r="H24" s="104"/>
      <c r="I24" s="104"/>
      <c r="J24" s="104"/>
      <c r="K24" s="104"/>
      <c r="L24" s="104"/>
      <c r="M24" s="104"/>
      <c r="N24" s="104"/>
      <c r="O24" s="104"/>
      <c r="P24" s="100" t="s">
        <v>15</v>
      </c>
      <c r="Q24" s="101"/>
      <c r="R24" s="66"/>
      <c r="S24"/>
      <c r="T24" s="1"/>
      <c r="U24" s="1"/>
      <c r="V24" s="1"/>
      <c r="W24" s="1"/>
      <c r="X24" s="1"/>
      <c r="Y24" s="1"/>
      <c r="Z24" s="1"/>
      <c r="AA24" s="1"/>
      <c r="AB24" s="1"/>
      <c r="AC24" s="1"/>
      <c r="AD24" s="1"/>
      <c r="AE24" s="1"/>
      <c r="AF24" s="1"/>
      <c r="AG24" s="1"/>
      <c r="AH24" s="1"/>
      <c r="AI24" s="1"/>
      <c r="AJ24" s="1"/>
      <c r="AK24" s="1"/>
      <c r="AL24" s="1"/>
      <c r="AM24" s="1"/>
      <c r="AN24" s="1"/>
      <c r="AO24" s="1"/>
      <c r="AP24" s="1"/>
      <c r="AQ24" s="1"/>
    </row>
    <row r="25" spans="1:43" ht="20.100000000000001" customHeight="1" x14ac:dyDescent="0.2">
      <c r="A25" s="1"/>
      <c r="B25"/>
      <c r="C25"/>
      <c r="D25"/>
      <c r="E25"/>
      <c r="F25"/>
      <c r="G25"/>
      <c r="H25"/>
      <c r="I25"/>
      <c r="J25"/>
      <c r="K25"/>
      <c r="L25"/>
      <c r="M25"/>
      <c r="N25"/>
      <c r="O25"/>
      <c r="P25"/>
      <c r="Q25" s="6"/>
      <c r="R25" s="6"/>
      <c r="S25"/>
      <c r="T25" s="1"/>
      <c r="U25" s="1"/>
      <c r="V25" s="1"/>
      <c r="W25" s="1"/>
      <c r="X25" s="1"/>
      <c r="Y25" s="1"/>
      <c r="Z25" s="1"/>
      <c r="AA25" s="1"/>
      <c r="AB25" s="1"/>
      <c r="AC25" s="1"/>
      <c r="AD25" s="1"/>
      <c r="AE25" s="1"/>
      <c r="AF25" s="1"/>
      <c r="AG25" s="1"/>
      <c r="AH25" s="1"/>
      <c r="AI25" s="1"/>
      <c r="AJ25" s="1"/>
      <c r="AK25" s="1"/>
      <c r="AL25" s="1"/>
      <c r="AM25" s="1"/>
      <c r="AN25" s="1"/>
      <c r="AO25" s="1"/>
      <c r="AP25" s="1"/>
      <c r="AQ25" s="1"/>
    </row>
    <row r="26" spans="1:43" ht="20.100000000000001"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ht="20.100000000000001"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20.100000000000001"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20.100000000000001"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20.10000000000000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20.100000000000001"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20.100000000000001"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20.100000000000001"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20.100000000000001"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20.100000000000001"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20.100000000000001"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20.100000000000001"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20.100000000000001"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20.100000000000001"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ht="20.100000000000001"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ht="20.100000000000001"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ht="20.100000000000001"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ht="20.100000000000001"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20.100000000000001"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20.100000000000001"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ht="20.10000000000000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sheetData>
  <sheetProtection password="8459" sheet="1" objects="1" scenarios="1"/>
  <mergeCells count="5">
    <mergeCell ref="P18:Q18"/>
    <mergeCell ref="P23:Q23"/>
    <mergeCell ref="D6:R6"/>
    <mergeCell ref="P24:Q24"/>
    <mergeCell ref="C23:O24"/>
  </mergeCells>
  <phoneticPr fontId="6" type="noConversion"/>
  <hyperlinks>
    <hyperlink ref="P18:Q18" location="'1'!A1" tooltip="Calculez-le!" display="} cliquez ici"/>
  </hyperlinks>
  <pageMargins left="0.75" right="0.75" top="1" bottom="1" header="0.5" footer="0.5"/>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fitToPage="1"/>
  </sheetPr>
  <dimension ref="A1:R46"/>
  <sheetViews>
    <sheetView showGridLines="0" showRowColHeaders="0" zoomScaleNormal="100" workbookViewId="0">
      <selection activeCell="G2" sqref="G2"/>
    </sheetView>
  </sheetViews>
  <sheetFormatPr baseColWidth="10" defaultColWidth="9.125" defaultRowHeight="15.9" customHeight="1" x14ac:dyDescent="0.2"/>
  <cols>
    <col min="1" max="1" width="5.75" style="15" customWidth="1"/>
    <col min="2" max="2" width="25.875" style="15" customWidth="1"/>
    <col min="3" max="3" width="25.125" style="15" customWidth="1"/>
    <col min="4" max="5" width="24.125" style="15" customWidth="1"/>
    <col min="6" max="6" width="5.75" style="15" customWidth="1"/>
    <col min="7" max="41" width="5.75" style="16" customWidth="1"/>
    <col min="42" max="16384" width="9.125" style="16"/>
  </cols>
  <sheetData>
    <row r="1" spans="2:18" ht="15.9" customHeight="1" thickBot="1" x14ac:dyDescent="0.25"/>
    <row r="2" spans="2:18" ht="30" customHeight="1" thickBot="1" x14ac:dyDescent="0.25">
      <c r="B2" s="17" t="s">
        <v>41</v>
      </c>
      <c r="C2" s="17"/>
      <c r="D2" s="18"/>
      <c r="G2" s="7" t="s">
        <v>0</v>
      </c>
      <c r="H2" s="8" t="s">
        <v>1</v>
      </c>
      <c r="I2" s="9" t="s">
        <v>2</v>
      </c>
      <c r="J2" s="9" t="s">
        <v>3</v>
      </c>
    </row>
    <row r="3" spans="2:18" ht="15.9" customHeight="1" x14ac:dyDescent="0.2">
      <c r="G3" s="13"/>
      <c r="H3" s="13"/>
      <c r="I3" s="13"/>
      <c r="J3" s="13"/>
    </row>
    <row r="4" spans="2:18" ht="15.9" customHeight="1" x14ac:dyDescent="0.2">
      <c r="B4" s="10" t="s">
        <v>54</v>
      </c>
      <c r="C4" s="10"/>
      <c r="D4" s="11"/>
      <c r="G4" s="29"/>
      <c r="H4" s="29"/>
      <c r="I4" s="29"/>
      <c r="J4" s="29"/>
      <c r="K4" s="24"/>
      <c r="L4" s="24"/>
      <c r="M4" s="24"/>
      <c r="N4" s="24"/>
      <c r="O4" s="24"/>
      <c r="P4" s="15"/>
      <c r="Q4" s="15"/>
      <c r="R4" s="15"/>
    </row>
    <row r="5" spans="2:18" ht="15.9" customHeight="1" x14ac:dyDescent="0.2">
      <c r="B5" s="19" t="s">
        <v>49</v>
      </c>
      <c r="C5" s="10"/>
      <c r="D5" s="11"/>
      <c r="E5" s="21"/>
      <c r="G5" s="29"/>
      <c r="H5" s="29"/>
      <c r="I5" s="29"/>
      <c r="J5" s="29"/>
      <c r="K5" s="24"/>
      <c r="L5" s="24"/>
      <c r="M5" s="24"/>
      <c r="N5" s="24"/>
      <c r="O5" s="24"/>
      <c r="P5" s="15"/>
      <c r="Q5" s="15"/>
      <c r="R5" s="15"/>
    </row>
    <row r="6" spans="2:18" ht="15.9" customHeight="1" x14ac:dyDescent="0.2">
      <c r="B6" s="19" t="s">
        <v>50</v>
      </c>
      <c r="C6" s="19"/>
      <c r="D6" s="19"/>
      <c r="E6" s="21" t="s">
        <v>72</v>
      </c>
      <c r="G6" s="62" t="s">
        <v>1</v>
      </c>
      <c r="H6" s="54" t="b">
        <v>0</v>
      </c>
      <c r="I6" s="30"/>
      <c r="J6" s="30"/>
      <c r="K6" s="24"/>
      <c r="L6" s="24"/>
      <c r="M6" s="24"/>
      <c r="N6" s="24"/>
      <c r="O6" s="24"/>
      <c r="Q6" s="15"/>
      <c r="R6" s="15"/>
    </row>
    <row r="7" spans="2:18" ht="15.9" customHeight="1" x14ac:dyDescent="0.2">
      <c r="B7" s="19" t="s">
        <v>55</v>
      </c>
      <c r="C7" s="19"/>
      <c r="D7" s="19"/>
      <c r="E7" s="73"/>
      <c r="G7" s="30"/>
      <c r="H7" s="54"/>
      <c r="I7" s="30"/>
      <c r="J7" s="30"/>
      <c r="K7" s="24"/>
      <c r="L7" s="24"/>
      <c r="M7" s="24"/>
      <c r="N7" s="24"/>
      <c r="O7" s="24"/>
      <c r="Q7" s="15"/>
      <c r="R7" s="15"/>
    </row>
    <row r="8" spans="2:18" ht="15.9" customHeight="1" x14ac:dyDescent="0.2">
      <c r="B8" s="19" t="s">
        <v>51</v>
      </c>
      <c r="C8" s="19"/>
      <c r="D8" s="93" t="str">
        <f>IF(E6=calc!M6,"aucune émission de CO2","")</f>
        <v/>
      </c>
      <c r="E8" s="21">
        <v>0</v>
      </c>
      <c r="G8" s="30"/>
      <c r="H8" s="30"/>
      <c r="I8" s="30"/>
      <c r="J8" s="30"/>
      <c r="K8" s="24"/>
      <c r="L8" s="24"/>
      <c r="M8" s="24"/>
      <c r="N8" s="24"/>
      <c r="O8" s="24"/>
      <c r="Q8" s="15"/>
      <c r="R8" s="15"/>
    </row>
    <row r="9" spans="2:18" ht="15.9" customHeight="1" x14ac:dyDescent="0.2">
      <c r="B9" s="19" t="s">
        <v>68</v>
      </c>
      <c r="C9" s="19"/>
      <c r="D9" s="19"/>
      <c r="E9" s="21">
        <v>0</v>
      </c>
      <c r="G9" s="30"/>
      <c r="H9" s="30"/>
      <c r="I9" s="30"/>
      <c r="J9" s="30"/>
      <c r="K9" s="24"/>
      <c r="L9" s="24"/>
      <c r="M9" s="24"/>
      <c r="N9" s="24"/>
      <c r="O9" s="24"/>
      <c r="Q9" s="15"/>
      <c r="R9" s="15"/>
    </row>
    <row r="10" spans="2:18" ht="15.9" customHeight="1" x14ac:dyDescent="0.2">
      <c r="B10" s="19" t="s">
        <v>52</v>
      </c>
      <c r="C10" s="19"/>
      <c r="D10" s="19"/>
      <c r="E10" s="22">
        <v>0</v>
      </c>
      <c r="G10" s="34" t="s">
        <v>1</v>
      </c>
      <c r="H10" s="30"/>
      <c r="I10" s="30"/>
      <c r="J10" s="30"/>
      <c r="K10" s="24"/>
      <c r="L10" s="24"/>
      <c r="M10" s="24"/>
      <c r="N10" s="24"/>
      <c r="O10" s="24"/>
      <c r="Q10" s="15"/>
      <c r="R10" s="15"/>
    </row>
    <row r="11" spans="2:18" ht="15.9" customHeight="1" x14ac:dyDescent="0.2">
      <c r="B11" s="19" t="s">
        <v>56</v>
      </c>
      <c r="C11" s="19"/>
      <c r="D11" s="19"/>
      <c r="E11" s="35"/>
      <c r="G11" s="30" t="b">
        <f>IF(calc!D33=2020,TRUE,FALSE)</f>
        <v>1</v>
      </c>
      <c r="H11" s="30">
        <f>MAX(0,2020-calc!D33-1)</f>
        <v>0</v>
      </c>
      <c r="I11" s="42">
        <f>G11*(12-J11)</f>
        <v>12</v>
      </c>
      <c r="J11" s="30">
        <f>+calc!D10</f>
        <v>0</v>
      </c>
      <c r="K11" s="24"/>
      <c r="L11" s="24"/>
      <c r="M11" s="24"/>
      <c r="N11" s="24"/>
      <c r="O11" s="24"/>
      <c r="P11" s="15"/>
      <c r="Q11" s="15"/>
      <c r="R11" s="15"/>
    </row>
    <row r="12" spans="2:18" ht="15.9" customHeight="1" x14ac:dyDescent="0.2">
      <c r="B12" s="19" t="s">
        <v>69</v>
      </c>
      <c r="C12" s="19"/>
      <c r="D12" s="19"/>
      <c r="E12" s="94">
        <f>MIN(44196,calc!$C$3+calc!$B$2)</f>
        <v>43831</v>
      </c>
      <c r="G12" s="30" t="b">
        <f>IF(YEAR(E12)=2020,TRUE,FALSE)</f>
        <v>1</v>
      </c>
      <c r="H12" s="30"/>
      <c r="I12" s="42"/>
      <c r="J12" s="30"/>
      <c r="K12" s="24"/>
      <c r="L12" s="24"/>
      <c r="M12" s="24"/>
      <c r="N12" s="24"/>
      <c r="O12" s="24"/>
      <c r="P12" s="15"/>
      <c r="Q12" s="15"/>
      <c r="R12" s="15"/>
    </row>
    <row r="13" spans="2:18" ht="15.9" customHeight="1" x14ac:dyDescent="0.2">
      <c r="B13" s="19"/>
      <c r="C13" s="19"/>
      <c r="D13" s="19" t="str">
        <f>IF($G$13=TRUE,"Date de livraison en 2020:","")</f>
        <v/>
      </c>
      <c r="E13" s="94">
        <f>IF(G12=TRUE,MAX(43831,MIN(44196,calc!$C$4+calc!$D$3)),43830+calc!$D$3)</f>
        <v>43832</v>
      </c>
      <c r="G13" s="54" t="b">
        <v>0</v>
      </c>
      <c r="H13" s="30"/>
      <c r="I13" s="42"/>
      <c r="J13" s="30"/>
      <c r="K13" s="24"/>
      <c r="L13" s="24"/>
      <c r="M13" s="24"/>
      <c r="N13" s="24"/>
      <c r="O13" s="24"/>
      <c r="P13" s="15"/>
      <c r="Q13" s="15"/>
      <c r="R13" s="15"/>
    </row>
    <row r="14" spans="2:18" ht="15.9" customHeight="1" x14ac:dyDescent="0.2">
      <c r="B14" s="19" t="s">
        <v>53</v>
      </c>
      <c r="C14" s="19"/>
      <c r="D14" s="19"/>
      <c r="E14" s="19"/>
      <c r="G14" s="25"/>
      <c r="H14" s="30"/>
      <c r="I14" s="30"/>
      <c r="J14" s="30"/>
      <c r="K14" s="24"/>
      <c r="L14" s="24"/>
      <c r="M14" s="24"/>
      <c r="N14" s="24"/>
      <c r="O14" s="24"/>
      <c r="P14" s="15"/>
      <c r="Q14" s="15"/>
      <c r="R14" s="15"/>
    </row>
    <row r="15" spans="2:18" ht="15.9" customHeight="1" x14ac:dyDescent="0.2">
      <c r="B15" s="19"/>
      <c r="C15" s="19"/>
      <c r="D15" s="19"/>
      <c r="E15" s="19"/>
      <c r="G15" s="25"/>
      <c r="H15" s="30"/>
      <c r="I15" s="30"/>
      <c r="J15" s="30"/>
      <c r="K15" s="24"/>
      <c r="L15" s="24"/>
      <c r="M15" s="24"/>
      <c r="N15" s="24"/>
      <c r="O15" s="24"/>
      <c r="P15" s="15"/>
      <c r="Q15" s="15"/>
      <c r="R15" s="15"/>
    </row>
    <row r="16" spans="2:18" ht="15.9" customHeight="1" x14ac:dyDescent="0.2">
      <c r="B16" s="19" t="s">
        <v>57</v>
      </c>
      <c r="C16" s="19"/>
      <c r="D16" s="19"/>
      <c r="E16" s="82">
        <v>0</v>
      </c>
      <c r="G16" s="25"/>
      <c r="H16" s="30"/>
      <c r="I16" s="30"/>
      <c r="J16" s="30"/>
      <c r="K16" s="24"/>
      <c r="L16" s="24"/>
      <c r="M16" s="24"/>
      <c r="N16" s="24"/>
      <c r="O16" s="24"/>
      <c r="P16" s="15"/>
      <c r="Q16" s="15"/>
      <c r="R16" s="15"/>
    </row>
    <row r="17" spans="2:18" ht="15.9" customHeight="1" x14ac:dyDescent="0.2">
      <c r="B17" s="19"/>
      <c r="C17" s="19"/>
      <c r="D17" s="19"/>
      <c r="E17" s="19"/>
      <c r="G17" s="25"/>
      <c r="H17" s="30"/>
      <c r="I17" s="30"/>
      <c r="J17" s="30"/>
      <c r="K17" s="24"/>
      <c r="L17" s="24"/>
      <c r="M17" s="24"/>
      <c r="N17" s="24"/>
      <c r="O17" s="24"/>
      <c r="P17" s="15"/>
      <c r="Q17" s="15"/>
      <c r="R17" s="15"/>
    </row>
    <row r="18" spans="2:18" ht="15.9" customHeight="1" x14ac:dyDescent="0.2">
      <c r="B18" s="19" t="s">
        <v>58</v>
      </c>
      <c r="C18" s="19"/>
      <c r="D18" s="19"/>
      <c r="E18" s="95">
        <f>calc!$C$49+43000</f>
        <v>43831</v>
      </c>
      <c r="G18" s="34" t="s">
        <v>1</v>
      </c>
      <c r="H18" s="30"/>
      <c r="I18" s="30"/>
      <c r="J18" s="30"/>
      <c r="K18" s="24"/>
      <c r="L18" s="24"/>
      <c r="M18" s="24"/>
      <c r="N18" s="24"/>
      <c r="O18" s="24"/>
      <c r="P18" s="15"/>
      <c r="Q18" s="15"/>
      <c r="R18" s="15"/>
    </row>
    <row r="19" spans="2:18" ht="15.9" customHeight="1" x14ac:dyDescent="0.2">
      <c r="B19" s="19"/>
      <c r="C19" s="19"/>
      <c r="D19" s="19"/>
      <c r="E19" s="19"/>
      <c r="G19" s="25"/>
      <c r="H19" s="30"/>
      <c r="I19" s="30"/>
      <c r="J19" s="30"/>
      <c r="K19" s="24"/>
      <c r="L19" s="24"/>
      <c r="M19" s="24"/>
      <c r="N19" s="24"/>
      <c r="O19" s="24"/>
      <c r="P19" s="15"/>
      <c r="Q19" s="15"/>
      <c r="R19" s="15"/>
    </row>
    <row r="20" spans="2:18" ht="15.9" customHeight="1" x14ac:dyDescent="0.2">
      <c r="B20" s="10" t="s">
        <v>47</v>
      </c>
      <c r="C20" s="10"/>
      <c r="D20" s="26" t="str">
        <f>IF(AND(J11=0,G11=FALSE),"",IF(G11=TRUE,"Pour "&amp;calc!$D$6&amp;" jour(s)",IF(MIN(calc!D5,calc!B6)=0,"",IF(MIN(calc!D5,calc!B6)=1,"Pour le premier jour","Pour les premiers "&amp;MIN(calc!D5,calc!B6)&amp;" jours"))))</f>
        <v>Pour 366 jour(s)</v>
      </c>
      <c r="E20" s="26" t="str">
        <f>IF(AND(J11=0,G11=FALSE),"Pour "&amp;calc!$D$6&amp;" jour(s)",IF(G11=TRUE,"",IF(calc!$D$6=0,"",IF(calc!$D$6=1,IF(MIN(calc!$D$5,calc!$B$6)=0,"Pour 1 jour","Pour le jour suivant"),IF(MIN(calc!$D$5,calc!$B$6)=0,"Pour "&amp;calc!$D$6&amp;" jours","Pour les "&amp;calc!$D$6&amp;" jours suivants")))))</f>
        <v/>
      </c>
      <c r="G20" s="25"/>
      <c r="H20" s="25"/>
      <c r="I20" s="25"/>
      <c r="J20" s="25"/>
      <c r="K20" s="24"/>
      <c r="L20" s="24"/>
      <c r="M20" s="24"/>
      <c r="N20" s="24"/>
      <c r="O20" s="24"/>
      <c r="P20" s="15"/>
      <c r="Q20" s="15"/>
      <c r="R20" s="15"/>
    </row>
    <row r="21" spans="2:18" ht="15.9" customHeight="1" x14ac:dyDescent="0.2">
      <c r="B21" s="19" t="s">
        <v>42</v>
      </c>
      <c r="C21" s="27"/>
      <c r="D21" s="43">
        <f>+E10</f>
        <v>0</v>
      </c>
      <c r="E21" s="43">
        <f>+E10</f>
        <v>0</v>
      </c>
      <c r="F21" s="19"/>
      <c r="G21" s="25"/>
      <c r="H21" s="25"/>
      <c r="I21" s="25"/>
      <c r="J21" s="25"/>
      <c r="K21" s="24"/>
      <c r="L21" s="24"/>
      <c r="M21" s="24"/>
      <c r="N21" s="24"/>
      <c r="O21" s="24"/>
      <c r="P21" s="15"/>
      <c r="Q21" s="15"/>
      <c r="R21" s="15"/>
    </row>
    <row r="22" spans="2:18" ht="15.75" customHeight="1" x14ac:dyDescent="0.2">
      <c r="B22" s="19" t="s">
        <v>43</v>
      </c>
      <c r="C22" s="27"/>
      <c r="D22" s="44">
        <f>MAX(70%,100%-H11*6%)</f>
        <v>1</v>
      </c>
      <c r="E22" s="44">
        <f>MAX(70%,100%-(H11+1)*6%)</f>
        <v>0.94</v>
      </c>
      <c r="F22" s="19"/>
      <c r="G22" s="25"/>
      <c r="H22" s="25"/>
      <c r="I22" s="25"/>
      <c r="J22" s="25"/>
      <c r="K22" s="24"/>
      <c r="L22" s="24"/>
      <c r="M22" s="24"/>
      <c r="N22" s="24"/>
      <c r="O22" s="24"/>
      <c r="P22" s="15"/>
      <c r="Q22" s="15"/>
      <c r="R22" s="15"/>
    </row>
    <row r="23" spans="2:18" ht="15.9" customHeight="1" x14ac:dyDescent="0.2">
      <c r="B23" s="19" t="s">
        <v>44</v>
      </c>
      <c r="C23" s="27"/>
      <c r="D23" s="45">
        <f>IF(E10&gt;0,MAX(4%,IF(E6="Électricité",4%,MIN(18%,5.5%+(IF(AND(calc!$H$4&gt;=2018,$H$6=TRUE),coot2,coot)-IF(E6="Diesel",91,111))*0.1%))),0)</f>
        <v>0</v>
      </c>
      <c r="E23" s="45">
        <f>IF(E10&gt;0,MAX(4%,IF(E6="Électricité",4%,MIN(18%,5.5%+(IF(AND(calc!$H$4&gt;=2018,$H$6=TRUE),coot2,coot)-IF(E6="Diesel",91,111))*0.1%))),0)</f>
        <v>0</v>
      </c>
      <c r="F23" s="19"/>
      <c r="G23" s="25"/>
      <c r="H23" s="25"/>
      <c r="I23" s="25"/>
      <c r="J23" s="25"/>
      <c r="K23" s="24"/>
      <c r="L23" s="24"/>
      <c r="M23" s="24"/>
      <c r="N23" s="24"/>
      <c r="O23" s="24"/>
      <c r="P23" s="15"/>
      <c r="Q23" s="15"/>
      <c r="R23" s="15"/>
    </row>
    <row r="24" spans="2:18" ht="15.9" customHeight="1" x14ac:dyDescent="0.2">
      <c r="B24" s="19" t="s">
        <v>45</v>
      </c>
      <c r="C24" s="28"/>
      <c r="D24" s="45">
        <f>D23*0.857142857142857</f>
        <v>0</v>
      </c>
      <c r="E24" s="45">
        <f>E23*0.857142857142857</f>
        <v>0</v>
      </c>
      <c r="F24" s="19"/>
      <c r="G24" s="25"/>
      <c r="H24" s="25"/>
      <c r="I24" s="25"/>
      <c r="J24" s="25"/>
      <c r="K24" s="24"/>
      <c r="L24" s="24"/>
      <c r="M24" s="24"/>
      <c r="N24" s="24"/>
      <c r="O24" s="24"/>
      <c r="P24" s="15"/>
      <c r="Q24" s="15"/>
      <c r="R24" s="15"/>
    </row>
    <row r="25" spans="2:18" ht="15.9" customHeight="1" x14ac:dyDescent="0.2">
      <c r="B25" s="19" t="s">
        <v>46</v>
      </c>
      <c r="C25" s="28"/>
      <c r="D25" s="51">
        <f>IF(G11=TRUE,calc!D6,MIN(calc!D5,calc!B6))</f>
        <v>366</v>
      </c>
      <c r="E25" s="46">
        <f>IF(G11=TRUE,0,calc!D6)</f>
        <v>0</v>
      </c>
      <c r="G25" s="12"/>
      <c r="H25" s="12"/>
      <c r="I25" s="12"/>
      <c r="J25" s="14"/>
      <c r="K25" s="24"/>
      <c r="L25" s="24"/>
      <c r="M25" s="24"/>
      <c r="N25" s="24"/>
      <c r="O25" s="24"/>
      <c r="P25" s="15"/>
      <c r="Q25" s="15"/>
      <c r="R25" s="15"/>
    </row>
    <row r="26" spans="2:18" ht="15.9" customHeight="1" x14ac:dyDescent="0.2">
      <c r="B26" s="19" t="s">
        <v>89</v>
      </c>
      <c r="C26" s="19"/>
      <c r="D26" s="52">
        <f>E10*D22*D24*IF(G11=TRUE,calc!D6,MIN(calc!D5,calc!B6))/366</f>
        <v>0</v>
      </c>
      <c r="E26" s="23">
        <f>E10*E22*E24*IF(G11=TRUE,0,calc!D6)/366</f>
        <v>0</v>
      </c>
      <c r="G26" s="12"/>
      <c r="H26" s="12"/>
      <c r="I26" s="12"/>
      <c r="J26" s="14"/>
      <c r="K26" s="24"/>
      <c r="L26" s="24"/>
      <c r="M26" s="24"/>
      <c r="N26" s="24"/>
      <c r="O26" s="24"/>
      <c r="P26" s="15"/>
      <c r="Q26" s="15"/>
      <c r="R26" s="15"/>
    </row>
    <row r="27" spans="2:18" ht="15.9" customHeight="1" x14ac:dyDescent="0.2">
      <c r="B27" s="19" t="s">
        <v>48</v>
      </c>
      <c r="C27" s="53" t="str">
        <f>IF(D27&gt;E26+D26,"[Le minimum est d'application]","")</f>
        <v>[Le minimum est d'application]</v>
      </c>
      <c r="D27" s="105">
        <f>MAX(1360/366*(D25+E25),D26+E26)</f>
        <v>1360</v>
      </c>
      <c r="E27" s="106"/>
      <c r="G27" s="12"/>
      <c r="H27" s="12"/>
      <c r="I27" s="12"/>
      <c r="J27" s="14"/>
      <c r="N27" s="15"/>
      <c r="O27" s="15"/>
      <c r="P27" s="15"/>
      <c r="Q27" s="15"/>
      <c r="R27" s="15"/>
    </row>
    <row r="28" spans="2:18" ht="15.9" customHeight="1" x14ac:dyDescent="0.2">
      <c r="B28" s="80" t="s">
        <v>59</v>
      </c>
      <c r="C28" s="19"/>
      <c r="D28" s="107">
        <f>MAX(-D27,-E16*IF(E10&gt;0,1,0))</f>
        <v>0</v>
      </c>
      <c r="E28" s="107"/>
      <c r="G28" s="12"/>
      <c r="H28" s="12"/>
      <c r="I28" s="12"/>
      <c r="J28" s="14"/>
      <c r="N28" s="15"/>
      <c r="O28" s="15"/>
      <c r="P28" s="15"/>
      <c r="Q28" s="15"/>
      <c r="R28" s="15"/>
    </row>
    <row r="29" spans="2:18" ht="15.9" customHeight="1" x14ac:dyDescent="0.2">
      <c r="B29" s="19" t="s">
        <v>60</v>
      </c>
      <c r="C29" s="19"/>
      <c r="D29" s="105">
        <f>MAX(0,D27+D28)</f>
        <v>1360</v>
      </c>
      <c r="E29" s="106"/>
      <c r="G29" s="12"/>
      <c r="H29" s="12"/>
      <c r="I29" s="12"/>
      <c r="J29" s="14"/>
      <c r="N29" s="15"/>
      <c r="O29" s="15"/>
      <c r="P29" s="15"/>
      <c r="Q29" s="15"/>
      <c r="R29" s="15"/>
    </row>
    <row r="30" spans="2:18" ht="15.9" customHeight="1" x14ac:dyDescent="0.2">
      <c r="B30" s="19"/>
      <c r="C30" s="19"/>
      <c r="D30" s="16"/>
      <c r="E30" s="32"/>
      <c r="G30" s="12"/>
      <c r="H30" s="12"/>
      <c r="I30" s="12"/>
      <c r="J30" s="14"/>
      <c r="N30" s="15"/>
      <c r="O30" s="15"/>
      <c r="P30" s="15"/>
      <c r="Q30" s="15"/>
      <c r="R30" s="15"/>
    </row>
    <row r="31" spans="2:18" ht="15.9" customHeight="1" x14ac:dyDescent="0.2">
      <c r="B31" s="19"/>
      <c r="C31" s="19"/>
      <c r="D31" s="33"/>
      <c r="E31" s="32"/>
      <c r="G31" s="12"/>
      <c r="H31" s="12"/>
      <c r="I31" s="12"/>
      <c r="J31" s="14"/>
      <c r="N31" s="15"/>
      <c r="O31" s="15"/>
      <c r="P31" s="15"/>
      <c r="Q31" s="15"/>
      <c r="R31" s="15"/>
    </row>
    <row r="32" spans="2:18" ht="15.9" customHeight="1" x14ac:dyDescent="0.2">
      <c r="B32" s="10" t="s">
        <v>61</v>
      </c>
      <c r="C32" s="19"/>
      <c r="D32" s="19"/>
      <c r="E32" s="20">
        <v>2020</v>
      </c>
      <c r="G32" s="12"/>
      <c r="H32" s="12"/>
      <c r="I32" s="12"/>
      <c r="J32" s="14"/>
    </row>
    <row r="33" spans="1:10" ht="15.9" customHeight="1" x14ac:dyDescent="0.2">
      <c r="B33" s="19" t="s">
        <v>62</v>
      </c>
      <c r="E33" s="31">
        <f>+D29</f>
        <v>1360</v>
      </c>
      <c r="G33" s="12"/>
      <c r="H33" s="12"/>
      <c r="I33" s="12"/>
      <c r="J33" s="14"/>
    </row>
    <row r="34" spans="1:10" ht="15.9" customHeight="1" x14ac:dyDescent="0.2">
      <c r="B34" s="19" t="s">
        <v>63</v>
      </c>
      <c r="C34" s="19"/>
      <c r="D34" s="19"/>
      <c r="E34" s="31">
        <f>+D27*IF(calc!D44="non",0.17,0.4)</f>
        <v>544</v>
      </c>
      <c r="G34" s="12"/>
      <c r="H34" s="12"/>
      <c r="I34" s="12"/>
      <c r="J34" s="14"/>
    </row>
    <row r="35" spans="1:10" ht="15.9" customHeight="1" x14ac:dyDescent="0.2">
      <c r="B35" s="19"/>
      <c r="C35" s="19"/>
      <c r="D35" s="19"/>
      <c r="E35" s="19"/>
      <c r="G35" s="12"/>
      <c r="H35" s="12"/>
      <c r="I35" s="12"/>
      <c r="J35" s="14"/>
    </row>
    <row r="36" spans="1:10" ht="15.9" customHeight="1" x14ac:dyDescent="0.2">
      <c r="B36" s="10" t="s">
        <v>64</v>
      </c>
      <c r="C36" s="19"/>
      <c r="D36" s="20" t="s">
        <v>70</v>
      </c>
      <c r="E36" s="98" t="s">
        <v>71</v>
      </c>
      <c r="G36" s="34" t="s">
        <v>1</v>
      </c>
      <c r="H36" s="12"/>
      <c r="I36" s="12"/>
      <c r="J36" s="14"/>
    </row>
    <row r="37" spans="1:10" ht="15.9" customHeight="1" x14ac:dyDescent="0.2">
      <c r="B37" s="81" t="str">
        <f>"Société exercice d'imposition "&amp;calc!$D$49-1&amp;":"</f>
        <v>Société exercice d'imposition 2020:</v>
      </c>
      <c r="D37" s="90">
        <v>0.75</v>
      </c>
      <c r="E37" s="90">
        <f>HLOOKUP($E$6,calc!$L$26:$Q$28,3,FALSE)</f>
        <v>1.2</v>
      </c>
      <c r="G37" s="12"/>
      <c r="H37" s="12"/>
      <c r="I37" s="12"/>
      <c r="J37" s="14"/>
    </row>
    <row r="38" spans="1:10" ht="15.9" customHeight="1" x14ac:dyDescent="0.2">
      <c r="B38" s="81" t="str">
        <f>"Société à partir de l'exercice d'imposition "&amp;calc!$D$49&amp;":"</f>
        <v>Société à partir de l'exercice d'imposition 2021:</v>
      </c>
      <c r="D38" s="90">
        <f>E38</f>
        <v>1</v>
      </c>
      <c r="E38" s="91">
        <f>calc!L4</f>
        <v>1</v>
      </c>
      <c r="G38" s="12"/>
      <c r="H38" s="12"/>
      <c r="I38" s="12"/>
      <c r="J38" s="14"/>
    </row>
    <row r="39" spans="1:10" ht="9.75" customHeight="1" x14ac:dyDescent="0.2">
      <c r="B39" s="81"/>
      <c r="G39" s="12"/>
      <c r="H39" s="12"/>
      <c r="I39" s="12"/>
      <c r="J39" s="14"/>
    </row>
    <row r="40" spans="1:10" ht="15.9" customHeight="1" x14ac:dyDescent="0.2">
      <c r="B40" s="81" t="s">
        <v>65</v>
      </c>
      <c r="D40" s="91">
        <v>0.75</v>
      </c>
      <c r="E40" s="91">
        <f>HLOOKUP($E$6,calc!$L$26:$Q$28,2,FALSE)</f>
        <v>1.2</v>
      </c>
      <c r="G40" s="12"/>
      <c r="H40" s="12"/>
      <c r="I40" s="12"/>
      <c r="J40" s="14"/>
    </row>
    <row r="41" spans="1:10" ht="15.9" customHeight="1" x14ac:dyDescent="0.2">
      <c r="B41" s="81" t="s">
        <v>66</v>
      </c>
      <c r="D41" s="91">
        <f>E41</f>
        <v>1</v>
      </c>
      <c r="E41" s="91">
        <f>calc!M4</f>
        <v>1</v>
      </c>
      <c r="G41" s="12"/>
      <c r="H41" s="12"/>
      <c r="I41" s="12"/>
      <c r="J41" s="14"/>
    </row>
    <row r="42" spans="1:10" ht="15.9" customHeight="1" x14ac:dyDescent="0.2">
      <c r="B42" s="16"/>
      <c r="C42" s="16"/>
      <c r="D42" s="16"/>
      <c r="E42" s="16"/>
      <c r="G42" s="12"/>
      <c r="H42" s="12"/>
      <c r="I42" s="12"/>
      <c r="J42" s="14"/>
    </row>
    <row r="43" spans="1:10" ht="15.9" customHeight="1" x14ac:dyDescent="0.2">
      <c r="B43" s="16"/>
      <c r="C43" s="108" t="s">
        <v>67</v>
      </c>
      <c r="D43" s="108"/>
      <c r="E43" s="108"/>
      <c r="G43" s="12"/>
      <c r="H43" s="12"/>
      <c r="I43" s="12"/>
      <c r="J43" s="14"/>
    </row>
    <row r="44" spans="1:10" ht="15.9" customHeight="1" x14ac:dyDescent="0.2">
      <c r="G44" s="12"/>
      <c r="H44" s="12"/>
      <c r="I44" s="12"/>
      <c r="J44" s="14"/>
    </row>
    <row r="45" spans="1:10" ht="15.9" customHeight="1" x14ac:dyDescent="0.2">
      <c r="A45" s="14"/>
      <c r="B45" s="14"/>
      <c r="C45" s="14"/>
      <c r="D45" s="14"/>
      <c r="E45" s="14"/>
      <c r="F45" s="14"/>
      <c r="G45" s="14"/>
      <c r="H45" s="14"/>
      <c r="I45" s="14"/>
      <c r="J45" s="14"/>
    </row>
    <row r="46" spans="1:10" ht="15.9" customHeight="1" x14ac:dyDescent="0.2">
      <c r="B46" s="16"/>
      <c r="C46" s="16"/>
      <c r="D46" s="16"/>
      <c r="E46" s="16"/>
    </row>
  </sheetData>
  <sheetProtection password="8459" sheet="1" objects="1" scenarios="1"/>
  <mergeCells count="4">
    <mergeCell ref="D27:E27"/>
    <mergeCell ref="D28:E28"/>
    <mergeCell ref="D29:E29"/>
    <mergeCell ref="C43:E43"/>
  </mergeCells>
  <conditionalFormatting sqref="E21:E26">
    <cfRule type="expression" dxfId="7" priority="8" stopIfTrue="1">
      <formula>$G$11=TRUE</formula>
    </cfRule>
  </conditionalFormatting>
  <conditionalFormatting sqref="B28:C31">
    <cfRule type="expression" dxfId="6" priority="10" stopIfTrue="1">
      <formula>$J$11=12</formula>
    </cfRule>
    <cfRule type="expression" dxfId="5" priority="11" stopIfTrue="1">
      <formula>$G$14=TRUE</formula>
    </cfRule>
  </conditionalFormatting>
  <conditionalFormatting sqref="E13">
    <cfRule type="expression" dxfId="4" priority="4">
      <formula>$G$13=FALSE</formula>
    </cfRule>
  </conditionalFormatting>
  <hyperlinks>
    <hyperlink ref="G2" location="Home!A1" tooltip="Home" display="Ç"/>
  </hyperlinks>
  <pageMargins left="0.78740157480314965" right="0.78740157480314965" top="0.78740157480314965" bottom="0.78740157480314965" header="0.31496062992125984" footer="0.31496062992125984"/>
  <pageSetup paperSize="9" scale="9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4</xdr:col>
                    <xdr:colOff>266700</xdr:colOff>
                    <xdr:row>10</xdr:row>
                    <xdr:rowOff>30480</xdr:rowOff>
                  </from>
                  <to>
                    <xdr:col>4</xdr:col>
                    <xdr:colOff>1036320</xdr:colOff>
                    <xdr:row>11</xdr:row>
                    <xdr:rowOff>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4</xdr:col>
                    <xdr:colOff>1036320</xdr:colOff>
                    <xdr:row>10</xdr:row>
                    <xdr:rowOff>22860</xdr:rowOff>
                  </from>
                  <to>
                    <xdr:col>5</xdr:col>
                    <xdr:colOff>0</xdr:colOff>
                    <xdr:row>10</xdr:row>
                    <xdr:rowOff>190500</xdr:rowOff>
                  </to>
                </anchor>
              </controlPr>
            </control>
          </mc:Choice>
        </mc:AlternateContent>
        <mc:AlternateContent xmlns:mc="http://schemas.openxmlformats.org/markup-compatibility/2006">
          <mc:Choice Requires="x14">
            <control shapeId="10247" r:id="rId6" name="Drop Down 7">
              <controlPr defaultSize="0" autoLine="0" autoPict="0">
                <anchor moveWithCells="1">
                  <from>
                    <xdr:col>4</xdr:col>
                    <xdr:colOff>0</xdr:colOff>
                    <xdr:row>13</xdr:row>
                    <xdr:rowOff>22860</xdr:rowOff>
                  </from>
                  <to>
                    <xdr:col>5</xdr:col>
                    <xdr:colOff>0</xdr:colOff>
                    <xdr:row>14</xdr:row>
                    <xdr:rowOff>0</xdr:rowOff>
                  </to>
                </anchor>
              </controlPr>
            </control>
          </mc:Choice>
        </mc:AlternateContent>
        <mc:AlternateContent xmlns:mc="http://schemas.openxmlformats.org/markup-compatibility/2006">
          <mc:Choice Requires="x14">
            <control shapeId="10253" r:id="rId7" name="Drop Down 13">
              <controlPr defaultSize="0" autoLine="0" autoPict="0">
                <anchor moveWithCells="1">
                  <from>
                    <xdr:col>3</xdr:col>
                    <xdr:colOff>1447800</xdr:colOff>
                    <xdr:row>10</xdr:row>
                    <xdr:rowOff>30480</xdr:rowOff>
                  </from>
                  <to>
                    <xdr:col>4</xdr:col>
                    <xdr:colOff>251460</xdr:colOff>
                    <xdr:row>11</xdr:row>
                    <xdr:rowOff>0</xdr:rowOff>
                  </to>
                </anchor>
              </controlPr>
            </control>
          </mc:Choice>
        </mc:AlternateContent>
        <mc:AlternateContent xmlns:mc="http://schemas.openxmlformats.org/markup-compatibility/2006">
          <mc:Choice Requires="x14">
            <control shapeId="10254" r:id="rId8" name="Scroll Bar 14">
              <controlPr defaultSize="0" autoPict="0">
                <anchor moveWithCells="1">
                  <from>
                    <xdr:col>4</xdr:col>
                    <xdr:colOff>22860</xdr:colOff>
                    <xdr:row>12</xdr:row>
                    <xdr:rowOff>22860</xdr:rowOff>
                  </from>
                  <to>
                    <xdr:col>4</xdr:col>
                    <xdr:colOff>708660</xdr:colOff>
                    <xdr:row>12</xdr:row>
                    <xdr:rowOff>182880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1</xdr:col>
                    <xdr:colOff>152400</xdr:colOff>
                    <xdr:row>12</xdr:row>
                    <xdr:rowOff>0</xdr:rowOff>
                  </from>
                  <to>
                    <xdr:col>2</xdr:col>
                    <xdr:colOff>266700</xdr:colOff>
                    <xdr:row>12</xdr:row>
                    <xdr:rowOff>190500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3</xdr:col>
                    <xdr:colOff>335280</xdr:colOff>
                    <xdr:row>4</xdr:row>
                    <xdr:rowOff>182880</xdr:rowOff>
                  </from>
                  <to>
                    <xdr:col>3</xdr:col>
                    <xdr:colOff>1562100</xdr:colOff>
                    <xdr:row>6</xdr:row>
                    <xdr:rowOff>22860</xdr:rowOff>
                  </to>
                </anchor>
              </controlPr>
            </control>
          </mc:Choice>
        </mc:AlternateContent>
        <mc:AlternateContent xmlns:mc="http://schemas.openxmlformats.org/markup-compatibility/2006">
          <mc:Choice Requires="x14">
            <control shapeId="10261" r:id="rId11" name="Scroll Bar 21">
              <controlPr defaultSize="0" autoPict="0">
                <anchor moveWithCells="1">
                  <from>
                    <xdr:col>4</xdr:col>
                    <xdr:colOff>22860</xdr:colOff>
                    <xdr:row>11</xdr:row>
                    <xdr:rowOff>22860</xdr:rowOff>
                  </from>
                  <to>
                    <xdr:col>4</xdr:col>
                    <xdr:colOff>708660</xdr:colOff>
                    <xdr:row>11</xdr:row>
                    <xdr:rowOff>182880</xdr:rowOff>
                  </to>
                </anchor>
              </controlPr>
            </control>
          </mc:Choice>
        </mc:AlternateContent>
        <mc:AlternateContent xmlns:mc="http://schemas.openxmlformats.org/markup-compatibility/2006">
          <mc:Choice Requires="x14">
            <control shapeId="10264" r:id="rId12" name="Drop Down 24">
              <controlPr defaultSize="0" autoLine="0" autoPict="0">
                <anchor moveWithCells="1">
                  <from>
                    <xdr:col>4</xdr:col>
                    <xdr:colOff>38100</xdr:colOff>
                    <xdr:row>6</xdr:row>
                    <xdr:rowOff>22860</xdr:rowOff>
                  </from>
                  <to>
                    <xdr:col>4</xdr:col>
                    <xdr:colOff>1569720</xdr:colOff>
                    <xdr:row>6</xdr:row>
                    <xdr:rowOff>190500</xdr:rowOff>
                  </to>
                </anchor>
              </controlPr>
            </control>
          </mc:Choice>
        </mc:AlternateContent>
        <mc:AlternateContent xmlns:mc="http://schemas.openxmlformats.org/markup-compatibility/2006">
          <mc:Choice Requires="x14">
            <control shapeId="10268" r:id="rId13" name="Scroll Bar 28">
              <controlPr defaultSize="0" autoPict="0">
                <anchor moveWithCells="1">
                  <from>
                    <xdr:col>4</xdr:col>
                    <xdr:colOff>7620</xdr:colOff>
                    <xdr:row>17</xdr:row>
                    <xdr:rowOff>22860</xdr:rowOff>
                  </from>
                  <to>
                    <xdr:col>4</xdr:col>
                    <xdr:colOff>693420</xdr:colOff>
                    <xdr:row>17</xdr:row>
                    <xdr:rowOff>182880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stopIfTrue="1" id="{00000000-000E-0000-0100-000009000000}">
            <xm:f>AND($G$11=FALSE,OR($J$11=0,MIN(calc!$D$5,calc!$B$6)=0))</xm:f>
            <x14:dxf>
              <font>
                <condense val="0"/>
                <extend val="0"/>
                <color indexed="53"/>
              </font>
              <fill>
                <patternFill>
                  <bgColor indexed="53"/>
                </patternFill>
              </fill>
            </x14:dxf>
          </x14:cfRule>
          <xm:sqref>D21:D26</xm:sqref>
        </x14:conditionalFormatting>
        <x14:conditionalFormatting xmlns:xm="http://schemas.microsoft.com/office/excel/2006/main">
          <x14:cfRule type="expression" priority="3" id="{DADC6590-9C8F-4962-A22E-35D48C0A83C7}">
            <xm:f>OR($H6=FALSE,calc!$H$4&lt;2018)</xm:f>
            <x14:dxf>
              <font>
                <color theme="0"/>
              </font>
            </x14:dxf>
          </x14:cfRule>
          <xm:sqref>B9</xm:sqref>
        </x14:conditionalFormatting>
        <x14:conditionalFormatting xmlns:xm="http://schemas.microsoft.com/office/excel/2006/main">
          <x14:cfRule type="expression" priority="2" id="{0AFE9A8A-7FFD-43F2-951F-0B9250351D3B}">
            <xm:f>OR($H$6=FALSE,calc!$H$4&lt;2018)</xm:f>
            <x14:dxf>
              <font>
                <color theme="0"/>
              </font>
              <fill>
                <patternFill patternType="none">
                  <bgColor auto="1"/>
                </patternFill>
              </fill>
            </x14:dxf>
          </x14:cfRule>
          <xm:sqref>E9</xm:sqref>
        </x14:conditionalFormatting>
        <x14:conditionalFormatting xmlns:xm="http://schemas.microsoft.com/office/excel/2006/main">
          <x14:cfRule type="expression" priority="13" stopIfTrue="1" id="{00000000-000E-0000-0100-000004000000}">
            <xm:f>calc!$D$6=0</xm:f>
            <x14:dxf>
              <font>
                <condense val="0"/>
                <extend val="0"/>
                <color indexed="53"/>
              </font>
              <fill>
                <patternFill>
                  <bgColor indexed="53"/>
                </patternFill>
              </fill>
            </x14:dxf>
          </x14:cfRule>
          <xm:sqref>E21:E26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calc!$K$6:$P$6</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autoPageBreaks="0"/>
  </sheetPr>
  <dimension ref="A1:S51"/>
  <sheetViews>
    <sheetView showGridLines="0" showRowColHeaders="0" topLeftCell="C19" zoomScaleNormal="100" workbookViewId="0">
      <selection activeCell="P27" sqref="P27"/>
    </sheetView>
  </sheetViews>
  <sheetFormatPr baseColWidth="10" defaultColWidth="15.625" defaultRowHeight="15" customHeight="1" x14ac:dyDescent="0.2"/>
  <cols>
    <col min="1" max="1" width="15.625" style="36"/>
    <col min="2" max="2" width="15.625" style="36" customWidth="1"/>
    <col min="3" max="3" width="16.375" style="36" customWidth="1"/>
    <col min="4" max="4" width="15.625" style="37" customWidth="1"/>
    <col min="5" max="5" width="15.625" style="36"/>
    <col min="6" max="10" width="9.75" style="36" customWidth="1"/>
    <col min="11" max="11" width="17.375" style="36" customWidth="1"/>
    <col min="12" max="16384" width="15.625" style="36"/>
  </cols>
  <sheetData>
    <row r="1" spans="1:19" ht="15" customHeight="1" x14ac:dyDescent="0.2">
      <c r="C1" s="69" t="s">
        <v>19</v>
      </c>
      <c r="D1" s="36" t="s">
        <v>10</v>
      </c>
      <c r="G1" s="72"/>
    </row>
    <row r="2" spans="1:19" ht="15" customHeight="1" x14ac:dyDescent="0.2">
      <c r="A2" s="36" t="s">
        <v>20</v>
      </c>
      <c r="B2" s="74">
        <f>DATE($D$33,calc!C10,E9)</f>
        <v>43831</v>
      </c>
      <c r="D2" s="36"/>
      <c r="G2" s="72"/>
      <c r="K2" s="111" t="s">
        <v>30</v>
      </c>
      <c r="L2" s="112"/>
      <c r="M2" s="112"/>
      <c r="N2" s="112"/>
      <c r="O2" s="113"/>
    </row>
    <row r="3" spans="1:19" ht="15" customHeight="1" x14ac:dyDescent="0.2">
      <c r="B3" s="50"/>
      <c r="C3" s="57">
        <v>0</v>
      </c>
      <c r="D3" s="57">
        <v>2</v>
      </c>
      <c r="G3" s="71"/>
      <c r="H3" s="6" t="s">
        <v>16</v>
      </c>
      <c r="K3" s="89" t="s">
        <v>29</v>
      </c>
      <c r="L3" s="36" t="s">
        <v>23</v>
      </c>
      <c r="M3" s="36" t="s">
        <v>24</v>
      </c>
    </row>
    <row r="4" spans="1:19" ht="15" customHeight="1" x14ac:dyDescent="0.2">
      <c r="B4" s="56">
        <f>DATE(2020,calc!C10,IF('1'!G11=TRUE,E9,1))-1</f>
        <v>43830</v>
      </c>
      <c r="C4" s="56">
        <f>IF(YEAR('1'!$E$12)=2020,DATE(YEAR('1'!$E$12),MONTH('1'!E12),DAY('1'!E12))-1,B5)</f>
        <v>43830</v>
      </c>
      <c r="D4" s="50">
        <f>'1'!E13</f>
        <v>43832</v>
      </c>
      <c r="G4" s="57">
        <v>2</v>
      </c>
      <c r="H4" s="67">
        <f>IF(G4=1,2017,2018)</f>
        <v>2018</v>
      </c>
      <c r="K4" s="63" t="s">
        <v>13</v>
      </c>
      <c r="L4" s="64">
        <f>IF($K$5=$M$6,100,IF(IF(AND($H$4&gt;=2018,'1'!$H$6=TRUE),coot2,coot)&gt;=200,40,MAX(50,MIN(100,120-(0.5*HLOOKUP(K5,K6:P7,2,FALSE)*IF(AND($H$4&gt;=2018,'1'!$H$6=TRUE),coot2,coot))))))/100</f>
        <v>1</v>
      </c>
      <c r="M4" s="64">
        <f>IF($K$5=$M$6,100,IF(IF(AND($H$4&gt;=2018,'1'!$H$6=TRUE),coot2,coot)&gt;=200,40,MAX(IF($H$4&lt;2018,75,50),MIN(100,120-(0.5*HLOOKUP($K$5,$K$6:$P$7,2,FALSE)*IF(AND($H$4&gt;=2018,'1'!$H$6=TRUE),coot2,coot))))))/100</f>
        <v>1</v>
      </c>
    </row>
    <row r="5" spans="1:19" ht="15" customHeight="1" x14ac:dyDescent="0.2">
      <c r="B5" s="50">
        <v>43830</v>
      </c>
      <c r="C5" s="50">
        <v>43830</v>
      </c>
      <c r="D5" s="55">
        <f>IF('1'!G13=TRUE,MAX(0,D4-calc!C4-1),366-C6)</f>
        <v>366</v>
      </c>
      <c r="G5" s="71">
        <v>1</v>
      </c>
      <c r="H5" s="68" t="s">
        <v>17</v>
      </c>
      <c r="K5" s="37" t="str">
        <f>'1'!E6</f>
        <v>Essence</v>
      </c>
    </row>
    <row r="6" spans="1:19" ht="15" customHeight="1" x14ac:dyDescent="0.2">
      <c r="A6" s="78" t="s">
        <v>21</v>
      </c>
      <c r="B6" s="77">
        <f>MAX(0,B4-B5-C6)</f>
        <v>0</v>
      </c>
      <c r="C6" s="36">
        <f>C4-C5</f>
        <v>0</v>
      </c>
      <c r="D6" s="79">
        <f>MAX(0,D5-B6)</f>
        <v>366</v>
      </c>
      <c r="G6" s="71">
        <v>2</v>
      </c>
      <c r="H6" s="68" t="s">
        <v>74</v>
      </c>
      <c r="K6" s="59" t="s">
        <v>4</v>
      </c>
      <c r="L6" s="59" t="s">
        <v>72</v>
      </c>
      <c r="M6" s="59" t="s">
        <v>73</v>
      </c>
      <c r="N6" s="59" t="s">
        <v>12</v>
      </c>
      <c r="O6" s="59" t="s">
        <v>90</v>
      </c>
      <c r="P6" s="59" t="s">
        <v>91</v>
      </c>
    </row>
    <row r="7" spans="1:19" ht="15" customHeight="1" x14ac:dyDescent="0.2">
      <c r="B7" s="75"/>
      <c r="C7" s="40"/>
      <c r="D7" s="76"/>
      <c r="E7" s="40"/>
      <c r="K7" s="60">
        <v>1</v>
      </c>
      <c r="L7" s="60">
        <v>0.95</v>
      </c>
      <c r="M7" s="61">
        <v>0.9</v>
      </c>
      <c r="N7" s="61">
        <f>L7</f>
        <v>0.95</v>
      </c>
      <c r="O7" s="61">
        <v>0.9</v>
      </c>
      <c r="P7" s="36">
        <v>0.95</v>
      </c>
    </row>
    <row r="8" spans="1:19" ht="15" customHeight="1" x14ac:dyDescent="0.2">
      <c r="C8" s="109" t="s">
        <v>18</v>
      </c>
      <c r="D8" s="109"/>
      <c r="E8" s="109"/>
      <c r="F8" s="109"/>
      <c r="G8" s="109"/>
      <c r="H8" s="109"/>
      <c r="I8" s="109"/>
      <c r="J8" s="109"/>
      <c r="K8" s="60"/>
      <c r="L8" s="60"/>
      <c r="M8" s="61"/>
      <c r="N8" s="61"/>
      <c r="O8" s="61"/>
    </row>
    <row r="9" spans="1:19" ht="15" customHeight="1" x14ac:dyDescent="0.2">
      <c r="C9" s="40"/>
      <c r="D9" s="41"/>
      <c r="E9" s="57">
        <v>1</v>
      </c>
      <c r="L9" s="37"/>
      <c r="M9" s="37"/>
      <c r="N9" s="37"/>
    </row>
    <row r="10" spans="1:19" ht="15" customHeight="1" x14ac:dyDescent="0.2">
      <c r="C10" s="57">
        <v>1</v>
      </c>
      <c r="D10" s="41">
        <f>+C10-1</f>
        <v>0</v>
      </c>
      <c r="E10" s="40" t="str">
        <f>VLOOKUP(C10,C11:E22,3)</f>
        <v>dagen31</v>
      </c>
      <c r="F10" s="36" t="s">
        <v>7</v>
      </c>
      <c r="G10" s="36" t="s">
        <v>8</v>
      </c>
      <c r="H10" s="36" t="s">
        <v>6</v>
      </c>
      <c r="I10" s="36" t="s">
        <v>9</v>
      </c>
      <c r="K10" s="89" t="s">
        <v>35</v>
      </c>
      <c r="L10" s="63"/>
      <c r="M10" s="63"/>
      <c r="N10" s="63"/>
      <c r="O10" s="63"/>
      <c r="P10" s="63"/>
      <c r="Q10" s="63"/>
      <c r="R10"/>
      <c r="S10"/>
    </row>
    <row r="11" spans="1:19" ht="15" customHeight="1" x14ac:dyDescent="0.2">
      <c r="C11" s="40">
        <v>1</v>
      </c>
      <c r="D11" s="41" t="s">
        <v>75</v>
      </c>
      <c r="E11" s="40" t="s">
        <v>6</v>
      </c>
      <c r="F11" s="36">
        <v>1</v>
      </c>
      <c r="G11" s="36">
        <v>1</v>
      </c>
      <c r="H11" s="36">
        <v>1</v>
      </c>
      <c r="I11" s="36">
        <f ca="1">INDIRECT($E$10,)</f>
        <v>1</v>
      </c>
      <c r="K11" s="63"/>
      <c r="L11" s="59" t="s">
        <v>25</v>
      </c>
      <c r="M11" s="59" t="s">
        <v>26</v>
      </c>
      <c r="N11" s="59"/>
      <c r="O11" s="63"/>
      <c r="P11" s="63"/>
      <c r="Q11" s="63"/>
      <c r="R11"/>
      <c r="S11"/>
    </row>
    <row r="12" spans="1:19" ht="15" customHeight="1" x14ac:dyDescent="0.2">
      <c r="C12" s="40">
        <v>2</v>
      </c>
      <c r="D12" s="41" t="s">
        <v>76</v>
      </c>
      <c r="E12" s="40" t="s">
        <v>7</v>
      </c>
      <c r="F12" s="36">
        <v>2</v>
      </c>
      <c r="G12" s="36">
        <v>2</v>
      </c>
      <c r="H12" s="36">
        <v>2</v>
      </c>
      <c r="I12" s="36">
        <f t="shared" ref="I12:I41" ca="1" si="0">INDIRECT($E$10,)</f>
        <v>2</v>
      </c>
      <c r="K12" s="63">
        <v>0</v>
      </c>
      <c r="L12" s="83">
        <v>1.2</v>
      </c>
      <c r="M12" s="83">
        <v>1.2</v>
      </c>
      <c r="N12" s="83"/>
      <c r="O12" s="63"/>
      <c r="P12" s="63"/>
      <c r="Q12" s="63"/>
      <c r="R12"/>
      <c r="S12"/>
    </row>
    <row r="13" spans="1:19" ht="15" customHeight="1" x14ac:dyDescent="0.2">
      <c r="C13" s="40">
        <v>3</v>
      </c>
      <c r="D13" s="41" t="s">
        <v>77</v>
      </c>
      <c r="E13" s="40" t="s">
        <v>6</v>
      </c>
      <c r="F13" s="36">
        <v>3</v>
      </c>
      <c r="G13" s="36">
        <v>3</v>
      </c>
      <c r="H13" s="36">
        <v>3</v>
      </c>
      <c r="I13" s="36">
        <f t="shared" ca="1" si="0"/>
        <v>3</v>
      </c>
      <c r="K13" s="63">
        <v>1</v>
      </c>
      <c r="L13" s="83">
        <v>1</v>
      </c>
      <c r="M13" s="83">
        <v>1</v>
      </c>
      <c r="N13" s="63"/>
      <c r="O13" s="63"/>
      <c r="P13" s="63"/>
      <c r="Q13" s="63"/>
      <c r="R13"/>
      <c r="S13"/>
    </row>
    <row r="14" spans="1:19" ht="15" customHeight="1" x14ac:dyDescent="0.2">
      <c r="C14" s="40">
        <v>4</v>
      </c>
      <c r="D14" s="41" t="s">
        <v>78</v>
      </c>
      <c r="E14" s="40" t="s">
        <v>8</v>
      </c>
      <c r="F14" s="36">
        <v>4</v>
      </c>
      <c r="G14" s="36">
        <v>4</v>
      </c>
      <c r="H14" s="36">
        <v>4</v>
      </c>
      <c r="I14" s="36">
        <f t="shared" ca="1" si="0"/>
        <v>4</v>
      </c>
      <c r="K14" s="63">
        <v>61</v>
      </c>
      <c r="L14" s="83">
        <v>0.9</v>
      </c>
      <c r="M14" s="83">
        <v>0.9</v>
      </c>
      <c r="N14" s="63"/>
      <c r="O14" s="63"/>
      <c r="P14" s="63"/>
      <c r="Q14" s="63"/>
      <c r="R14"/>
      <c r="S14"/>
    </row>
    <row r="15" spans="1:19" ht="15" customHeight="1" x14ac:dyDescent="0.2">
      <c r="C15" s="40">
        <v>5</v>
      </c>
      <c r="D15" s="41" t="s">
        <v>79</v>
      </c>
      <c r="E15" s="40" t="s">
        <v>6</v>
      </c>
      <c r="F15" s="36">
        <v>5</v>
      </c>
      <c r="G15" s="36">
        <v>5</v>
      </c>
      <c r="H15" s="36">
        <v>5</v>
      </c>
      <c r="I15" s="36">
        <f t="shared" ca="1" si="0"/>
        <v>5</v>
      </c>
      <c r="K15" s="63">
        <v>106</v>
      </c>
      <c r="L15" s="83">
        <v>0.8</v>
      </c>
      <c r="M15" s="83">
        <v>0.8</v>
      </c>
      <c r="N15" s="63"/>
      <c r="O15" s="63"/>
      <c r="P15" s="63"/>
      <c r="Q15" s="63"/>
      <c r="R15"/>
      <c r="S15"/>
    </row>
    <row r="16" spans="1:19" ht="15" customHeight="1" x14ac:dyDescent="0.2">
      <c r="C16" s="40">
        <v>6</v>
      </c>
      <c r="D16" s="41" t="s">
        <v>80</v>
      </c>
      <c r="E16" s="40" t="s">
        <v>8</v>
      </c>
      <c r="F16" s="36">
        <v>6</v>
      </c>
      <c r="G16" s="36">
        <v>6</v>
      </c>
      <c r="H16" s="36">
        <v>6</v>
      </c>
      <c r="I16" s="36">
        <f t="shared" ca="1" si="0"/>
        <v>6</v>
      </c>
      <c r="K16" s="63">
        <v>116</v>
      </c>
      <c r="L16" s="83">
        <v>0.75</v>
      </c>
      <c r="M16" s="83">
        <v>0.8</v>
      </c>
      <c r="N16" s="63"/>
      <c r="O16" s="63"/>
      <c r="P16" s="63"/>
      <c r="Q16" s="63"/>
      <c r="R16"/>
      <c r="S16"/>
    </row>
    <row r="17" spans="3:19" ht="15" customHeight="1" x14ac:dyDescent="0.2">
      <c r="C17" s="40">
        <v>7</v>
      </c>
      <c r="D17" s="41" t="s">
        <v>81</v>
      </c>
      <c r="E17" s="40" t="s">
        <v>6</v>
      </c>
      <c r="F17" s="36">
        <v>7</v>
      </c>
      <c r="G17" s="36">
        <v>7</v>
      </c>
      <c r="H17" s="36">
        <v>7</v>
      </c>
      <c r="I17" s="36">
        <f t="shared" ca="1" si="0"/>
        <v>7</v>
      </c>
      <c r="K17" s="63">
        <v>126</v>
      </c>
      <c r="L17" s="83">
        <v>0.75</v>
      </c>
      <c r="M17" s="83">
        <v>0.75</v>
      </c>
      <c r="N17" s="63"/>
      <c r="O17" s="63"/>
      <c r="P17" s="63"/>
      <c r="Q17" s="63"/>
      <c r="R17"/>
      <c r="S17"/>
    </row>
    <row r="18" spans="3:19" ht="15" customHeight="1" x14ac:dyDescent="0.2">
      <c r="C18" s="40">
        <v>8</v>
      </c>
      <c r="D18" s="41" t="s">
        <v>82</v>
      </c>
      <c r="E18" s="40" t="s">
        <v>6</v>
      </c>
      <c r="F18" s="36">
        <v>8</v>
      </c>
      <c r="G18" s="36">
        <v>8</v>
      </c>
      <c r="H18" s="36">
        <v>8</v>
      </c>
      <c r="I18" s="36">
        <f t="shared" ca="1" si="0"/>
        <v>8</v>
      </c>
      <c r="K18" s="63">
        <v>146</v>
      </c>
      <c r="L18" s="83">
        <v>0.7</v>
      </c>
      <c r="M18" s="83">
        <v>0.75</v>
      </c>
      <c r="N18" s="63"/>
      <c r="O18" s="63"/>
      <c r="P18" s="63"/>
      <c r="Q18" s="63"/>
      <c r="R18"/>
      <c r="S18"/>
    </row>
    <row r="19" spans="3:19" ht="15" customHeight="1" x14ac:dyDescent="0.2">
      <c r="C19" s="40">
        <v>9</v>
      </c>
      <c r="D19" s="41" t="s">
        <v>83</v>
      </c>
      <c r="E19" s="40" t="s">
        <v>8</v>
      </c>
      <c r="F19" s="36">
        <v>9</v>
      </c>
      <c r="G19" s="36">
        <v>9</v>
      </c>
      <c r="H19" s="36">
        <v>9</v>
      </c>
      <c r="I19" s="36">
        <f t="shared" ca="1" si="0"/>
        <v>9</v>
      </c>
      <c r="K19" s="63">
        <v>156</v>
      </c>
      <c r="L19" s="83">
        <v>0.7</v>
      </c>
      <c r="M19" s="83">
        <v>0.7</v>
      </c>
      <c r="N19" s="63"/>
      <c r="O19" s="63"/>
      <c r="P19" s="63"/>
      <c r="Q19" s="63"/>
      <c r="R19"/>
      <c r="S19"/>
    </row>
    <row r="20" spans="3:19" ht="15" customHeight="1" x14ac:dyDescent="0.2">
      <c r="C20" s="40">
        <v>10</v>
      </c>
      <c r="D20" s="41" t="s">
        <v>84</v>
      </c>
      <c r="E20" s="40" t="s">
        <v>6</v>
      </c>
      <c r="F20" s="36">
        <v>10</v>
      </c>
      <c r="G20" s="36">
        <v>10</v>
      </c>
      <c r="H20" s="36">
        <v>10</v>
      </c>
      <c r="I20" s="36">
        <f t="shared" ca="1" si="0"/>
        <v>10</v>
      </c>
      <c r="K20" s="63">
        <v>171</v>
      </c>
      <c r="L20" s="83">
        <v>0.6</v>
      </c>
      <c r="M20" s="83">
        <v>0.7</v>
      </c>
      <c r="N20" s="63"/>
      <c r="O20" s="63"/>
      <c r="P20" s="63"/>
      <c r="Q20" s="63"/>
      <c r="R20"/>
      <c r="S20"/>
    </row>
    <row r="21" spans="3:19" ht="15" customHeight="1" x14ac:dyDescent="0.2">
      <c r="C21" s="40">
        <v>11</v>
      </c>
      <c r="D21" s="41" t="s">
        <v>85</v>
      </c>
      <c r="E21" s="40" t="s">
        <v>8</v>
      </c>
      <c r="F21" s="36">
        <v>11</v>
      </c>
      <c r="G21" s="36">
        <v>11</v>
      </c>
      <c r="H21" s="36">
        <v>11</v>
      </c>
      <c r="I21" s="36">
        <f t="shared" ca="1" si="0"/>
        <v>11</v>
      </c>
      <c r="K21" s="63">
        <v>181</v>
      </c>
      <c r="L21" s="83">
        <v>0.6</v>
      </c>
      <c r="M21" s="83">
        <v>0.6</v>
      </c>
      <c r="N21" s="63"/>
      <c r="O21" s="63"/>
      <c r="P21" s="63"/>
      <c r="Q21" s="63"/>
      <c r="R21"/>
      <c r="S21"/>
    </row>
    <row r="22" spans="3:19" ht="15" customHeight="1" x14ac:dyDescent="0.2">
      <c r="C22" s="40">
        <v>12</v>
      </c>
      <c r="D22" s="41" t="s">
        <v>86</v>
      </c>
      <c r="E22" s="40" t="s">
        <v>6</v>
      </c>
      <c r="F22" s="36">
        <v>12</v>
      </c>
      <c r="G22" s="36">
        <v>12</v>
      </c>
      <c r="H22" s="36">
        <v>12</v>
      </c>
      <c r="I22" s="36">
        <f t="shared" ca="1" si="0"/>
        <v>12</v>
      </c>
      <c r="K22" s="63">
        <v>196</v>
      </c>
      <c r="L22" s="83">
        <v>0.5</v>
      </c>
      <c r="M22" s="83">
        <v>0.6</v>
      </c>
      <c r="N22" s="63"/>
      <c r="O22" s="63"/>
      <c r="P22" s="63"/>
      <c r="Q22" s="63"/>
      <c r="R22"/>
      <c r="S22"/>
    </row>
    <row r="23" spans="3:19" ht="15" customHeight="1" x14ac:dyDescent="0.2">
      <c r="C23" s="40"/>
      <c r="D23" s="41"/>
      <c r="E23" s="40"/>
      <c r="F23" s="36">
        <v>13</v>
      </c>
      <c r="G23" s="36">
        <v>13</v>
      </c>
      <c r="H23" s="36">
        <v>13</v>
      </c>
      <c r="I23" s="36">
        <f t="shared" ca="1" si="0"/>
        <v>13</v>
      </c>
      <c r="K23" s="63">
        <v>206</v>
      </c>
      <c r="L23" s="83">
        <v>0.5</v>
      </c>
      <c r="M23" s="83">
        <v>0.5</v>
      </c>
      <c r="N23" s="63"/>
      <c r="O23" s="63"/>
      <c r="P23" s="63"/>
      <c r="Q23" s="63"/>
      <c r="R23"/>
      <c r="S23"/>
    </row>
    <row r="24" spans="3:19" ht="15" customHeight="1" x14ac:dyDescent="0.2">
      <c r="C24" s="40"/>
      <c r="D24" s="41"/>
      <c r="E24" s="40"/>
      <c r="F24" s="36">
        <v>14</v>
      </c>
      <c r="G24" s="36">
        <v>14</v>
      </c>
      <c r="H24" s="36">
        <v>14</v>
      </c>
      <c r="I24" s="36">
        <f t="shared" ca="1" si="0"/>
        <v>14</v>
      </c>
      <c r="K24" s="63"/>
      <c r="L24" s="63"/>
      <c r="M24" s="63"/>
      <c r="N24" s="63"/>
      <c r="O24" s="63"/>
      <c r="P24" s="63"/>
      <c r="Q24" s="63"/>
      <c r="R24"/>
      <c r="S24"/>
    </row>
    <row r="25" spans="3:19" ht="15" customHeight="1" x14ac:dyDescent="0.2">
      <c r="C25" s="40"/>
      <c r="D25" s="41"/>
      <c r="E25" s="40"/>
      <c r="F25" s="36">
        <v>15</v>
      </c>
      <c r="G25" s="36">
        <v>15</v>
      </c>
      <c r="H25" s="36">
        <v>15</v>
      </c>
      <c r="I25" s="36">
        <f t="shared" ca="1" si="0"/>
        <v>15</v>
      </c>
      <c r="K25" s="84" t="s">
        <v>27</v>
      </c>
      <c r="L25" s="110" t="s">
        <v>13</v>
      </c>
      <c r="M25" s="110"/>
      <c r="N25" s="110"/>
      <c r="O25" s="110"/>
      <c r="P25" s="110"/>
      <c r="Q25" s="92"/>
      <c r="R25"/>
      <c r="S25"/>
    </row>
    <row r="26" spans="3:19" ht="15" customHeight="1" x14ac:dyDescent="0.2">
      <c r="C26" s="40"/>
      <c r="D26" s="41"/>
      <c r="E26" s="40"/>
      <c r="F26" s="36">
        <v>16</v>
      </c>
      <c r="G26" s="36">
        <v>16</v>
      </c>
      <c r="H26" s="36">
        <v>16</v>
      </c>
      <c r="I26" s="36">
        <f t="shared" ca="1" si="0"/>
        <v>16</v>
      </c>
      <c r="K26" s="37" t="str">
        <f>'1'!E6</f>
        <v>Essence</v>
      </c>
      <c r="L26" s="59" t="s">
        <v>4</v>
      </c>
      <c r="M26" s="59" t="s">
        <v>72</v>
      </c>
      <c r="N26" s="59" t="s">
        <v>73</v>
      </c>
      <c r="O26" s="59" t="s">
        <v>12</v>
      </c>
      <c r="P26" s="59" t="s">
        <v>90</v>
      </c>
      <c r="Q26" s="59" t="s">
        <v>91</v>
      </c>
      <c r="R26"/>
      <c r="S26"/>
    </row>
    <row r="27" spans="3:19" ht="15" customHeight="1" x14ac:dyDescent="0.2">
      <c r="C27" s="40"/>
      <c r="D27" s="41"/>
      <c r="E27" s="40"/>
      <c r="F27" s="36">
        <v>17</v>
      </c>
      <c r="G27" s="36">
        <v>17</v>
      </c>
      <c r="H27" s="36">
        <v>17</v>
      </c>
      <c r="I27" s="36">
        <f t="shared" ca="1" si="0"/>
        <v>17</v>
      </c>
      <c r="K27" s="85">
        <f>coot</f>
        <v>0</v>
      </c>
      <c r="L27" s="86">
        <f>MAX(IF($H$4&lt;2018,75%,50%),VLOOKUP(K27,K12:L23,2))</f>
        <v>1.2</v>
      </c>
      <c r="M27" s="86">
        <f>MAX(IF($H$4&lt;2018,75%,50%),VLOOKUP(K27,K12:M23,3))</f>
        <v>1.2</v>
      </c>
      <c r="N27" s="83">
        <v>1.2</v>
      </c>
      <c r="O27" s="83">
        <f>M27</f>
        <v>1.2</v>
      </c>
      <c r="P27" s="83">
        <f>M27</f>
        <v>1.2</v>
      </c>
      <c r="Q27" s="83">
        <f>M27</f>
        <v>1.2</v>
      </c>
      <c r="R27"/>
      <c r="S27" s="87" t="s">
        <v>28</v>
      </c>
    </row>
    <row r="28" spans="3:19" ht="15" customHeight="1" x14ac:dyDescent="0.2">
      <c r="C28" s="40"/>
      <c r="D28" s="41"/>
      <c r="E28" s="40"/>
      <c r="F28" s="36">
        <v>18</v>
      </c>
      <c r="G28" s="36">
        <v>18</v>
      </c>
      <c r="H28" s="36">
        <v>18</v>
      </c>
      <c r="I28" s="36">
        <f t="shared" ca="1" si="0"/>
        <v>18</v>
      </c>
      <c r="K28" s="88"/>
      <c r="L28" s="86">
        <f>VLOOKUP(K27,K11:L23,2)</f>
        <v>1.2</v>
      </c>
      <c r="M28" s="86">
        <f>VLOOKUP(K27,K12:M23,3)</f>
        <v>1.2</v>
      </c>
      <c r="N28" s="83">
        <v>1.2</v>
      </c>
      <c r="O28" s="83">
        <f>M28</f>
        <v>1.2</v>
      </c>
      <c r="P28" s="83">
        <f>M28</f>
        <v>1.2</v>
      </c>
      <c r="Q28" s="83">
        <f>M28</f>
        <v>1.2</v>
      </c>
      <c r="R28"/>
      <c r="S28" s="87" t="s">
        <v>23</v>
      </c>
    </row>
    <row r="29" spans="3:19" ht="15" customHeight="1" x14ac:dyDescent="0.2">
      <c r="C29" s="40"/>
      <c r="D29" s="41"/>
      <c r="E29" s="40"/>
      <c r="F29" s="36">
        <v>19</v>
      </c>
      <c r="G29" s="36">
        <v>19</v>
      </c>
      <c r="H29" s="36">
        <v>19</v>
      </c>
      <c r="I29" s="36">
        <f t="shared" ca="1" si="0"/>
        <v>19</v>
      </c>
      <c r="K29" s="39"/>
      <c r="L29" s="47"/>
      <c r="M29" s="47"/>
      <c r="N29" s="38"/>
    </row>
    <row r="30" spans="3:19" ht="15" customHeight="1" x14ac:dyDescent="0.2">
      <c r="C30" s="40" t="s">
        <v>33</v>
      </c>
      <c r="D30" s="41" t="b">
        <f>IF(INT(D33/4)=D33/4,TRUE,FALSE)</f>
        <v>1</v>
      </c>
      <c r="E30" s="40"/>
      <c r="F30" s="36">
        <v>20</v>
      </c>
      <c r="G30" s="36">
        <v>20</v>
      </c>
      <c r="H30" s="36">
        <v>20</v>
      </c>
      <c r="I30" s="36">
        <f t="shared" ca="1" si="0"/>
        <v>20</v>
      </c>
      <c r="K30" s="39"/>
      <c r="L30" s="47"/>
      <c r="M30" s="47"/>
      <c r="N30" s="38"/>
    </row>
    <row r="31" spans="3:19" ht="15" customHeight="1" x14ac:dyDescent="0.2">
      <c r="C31" s="40" t="s">
        <v>34</v>
      </c>
      <c r="D31" s="41"/>
      <c r="E31" s="40"/>
      <c r="F31" s="36">
        <v>21</v>
      </c>
      <c r="G31" s="36">
        <v>21</v>
      </c>
      <c r="H31" s="36">
        <v>21</v>
      </c>
      <c r="I31" s="36">
        <f t="shared" ca="1" si="0"/>
        <v>21</v>
      </c>
      <c r="K31" s="39"/>
      <c r="L31" s="47"/>
      <c r="M31" s="47"/>
      <c r="N31" s="38"/>
    </row>
    <row r="32" spans="3:19" ht="15" customHeight="1" x14ac:dyDescent="0.2">
      <c r="C32" s="40"/>
      <c r="D32" s="41"/>
      <c r="E32" s="40"/>
      <c r="F32" s="36">
        <v>22</v>
      </c>
      <c r="G32" s="36">
        <v>22</v>
      </c>
      <c r="H32" s="36">
        <v>22</v>
      </c>
      <c r="I32" s="36">
        <f t="shared" ca="1" si="0"/>
        <v>22</v>
      </c>
      <c r="K32" s="39"/>
      <c r="L32" s="47"/>
      <c r="M32" s="47"/>
      <c r="N32" s="38"/>
    </row>
    <row r="33" spans="2:9" ht="15" customHeight="1" x14ac:dyDescent="0.2">
      <c r="C33" s="57">
        <v>8</v>
      </c>
      <c r="D33" s="41">
        <f>IF(C33=1,2014,VLOOKUP(C33,C34:D41,2))</f>
        <v>2020</v>
      </c>
      <c r="E33" s="40"/>
      <c r="F33" s="36">
        <v>23</v>
      </c>
      <c r="G33" s="36">
        <v>23</v>
      </c>
      <c r="H33" s="36">
        <v>23</v>
      </c>
      <c r="I33" s="36">
        <f t="shared" ca="1" si="0"/>
        <v>23</v>
      </c>
    </row>
    <row r="34" spans="2:9" ht="15" customHeight="1" x14ac:dyDescent="0.2">
      <c r="C34" s="40">
        <v>1</v>
      </c>
      <c r="D34" s="41" t="s">
        <v>11</v>
      </c>
      <c r="E34" s="40"/>
      <c r="F34" s="36">
        <v>24</v>
      </c>
      <c r="G34" s="36">
        <v>24</v>
      </c>
      <c r="H34" s="36">
        <v>24</v>
      </c>
      <c r="I34" s="36">
        <f t="shared" ca="1" si="0"/>
        <v>24</v>
      </c>
    </row>
    <row r="35" spans="2:9" ht="15" customHeight="1" x14ac:dyDescent="0.2">
      <c r="C35" s="40">
        <v>2</v>
      </c>
      <c r="D35" s="41">
        <v>2014</v>
      </c>
      <c r="E35" s="40"/>
      <c r="F35" s="36">
        <v>25</v>
      </c>
      <c r="G35" s="36">
        <v>25</v>
      </c>
      <c r="H35" s="36">
        <v>25</v>
      </c>
      <c r="I35" s="36">
        <f t="shared" ca="1" si="0"/>
        <v>25</v>
      </c>
    </row>
    <row r="36" spans="2:9" ht="15" customHeight="1" x14ac:dyDescent="0.2">
      <c r="C36" s="40">
        <v>3</v>
      </c>
      <c r="D36" s="41">
        <v>2015</v>
      </c>
      <c r="E36" s="40"/>
      <c r="F36" s="36">
        <v>26</v>
      </c>
      <c r="G36" s="36">
        <v>26</v>
      </c>
      <c r="H36" s="36">
        <v>26</v>
      </c>
      <c r="I36" s="36">
        <f t="shared" ca="1" si="0"/>
        <v>26</v>
      </c>
    </row>
    <row r="37" spans="2:9" ht="15" customHeight="1" x14ac:dyDescent="0.2">
      <c r="C37" s="40">
        <v>4</v>
      </c>
      <c r="D37" s="41">
        <v>2016</v>
      </c>
      <c r="E37" s="40"/>
      <c r="F37" s="36">
        <v>27</v>
      </c>
      <c r="G37" s="36">
        <v>27</v>
      </c>
      <c r="H37" s="36">
        <v>27</v>
      </c>
      <c r="I37" s="36">
        <f t="shared" ca="1" si="0"/>
        <v>27</v>
      </c>
    </row>
    <row r="38" spans="2:9" ht="15" customHeight="1" x14ac:dyDescent="0.2">
      <c r="C38" s="40">
        <v>5</v>
      </c>
      <c r="D38" s="41">
        <v>2017</v>
      </c>
      <c r="E38" s="40"/>
      <c r="F38" s="36">
        <v>28</v>
      </c>
      <c r="G38" s="36">
        <v>28</v>
      </c>
      <c r="H38" s="36">
        <v>28</v>
      </c>
      <c r="I38" s="36">
        <f t="shared" ca="1" si="0"/>
        <v>28</v>
      </c>
    </row>
    <row r="39" spans="2:9" ht="15" customHeight="1" x14ac:dyDescent="0.2">
      <c r="C39" s="40">
        <v>6</v>
      </c>
      <c r="D39" s="41">
        <v>2018</v>
      </c>
      <c r="E39" s="40"/>
      <c r="F39" s="36">
        <v>29</v>
      </c>
      <c r="G39" s="36">
        <v>29</v>
      </c>
      <c r="H39" s="36">
        <v>29</v>
      </c>
      <c r="I39" s="36">
        <f t="shared" ca="1" si="0"/>
        <v>29</v>
      </c>
    </row>
    <row r="40" spans="2:9" ht="15" customHeight="1" x14ac:dyDescent="0.2">
      <c r="C40" s="40">
        <v>7</v>
      </c>
      <c r="D40" s="41">
        <v>2019</v>
      </c>
      <c r="E40" s="40"/>
      <c r="G40" s="36">
        <v>30</v>
      </c>
      <c r="H40" s="36">
        <v>30</v>
      </c>
      <c r="I40" s="36">
        <f t="shared" ca="1" si="0"/>
        <v>30</v>
      </c>
    </row>
    <row r="41" spans="2:9" ht="15" customHeight="1" x14ac:dyDescent="0.2">
      <c r="C41" s="40">
        <v>8</v>
      </c>
      <c r="D41" s="41">
        <v>2020</v>
      </c>
      <c r="E41" s="40"/>
      <c r="H41" s="36">
        <v>31</v>
      </c>
      <c r="I41" s="36">
        <f t="shared" ca="1" si="0"/>
        <v>31</v>
      </c>
    </row>
    <row r="43" spans="2:9" ht="15" customHeight="1" x14ac:dyDescent="0.2">
      <c r="B43" s="70" t="s">
        <v>5</v>
      </c>
    </row>
    <row r="44" spans="2:9" ht="15" customHeight="1" x14ac:dyDescent="0.2">
      <c r="C44" s="57">
        <v>1</v>
      </c>
      <c r="D44" s="37" t="str">
        <f>VLOOKUP(C44,C45:D46,2)</f>
        <v>Oui</v>
      </c>
    </row>
    <row r="45" spans="2:9" ht="15" customHeight="1" x14ac:dyDescent="0.2">
      <c r="C45" s="36">
        <v>1</v>
      </c>
      <c r="D45" s="37" t="s">
        <v>87</v>
      </c>
    </row>
    <row r="46" spans="2:9" ht="15" customHeight="1" x14ac:dyDescent="0.2">
      <c r="C46" s="36">
        <v>2</v>
      </c>
      <c r="D46" s="37" t="s">
        <v>88</v>
      </c>
    </row>
    <row r="48" spans="2:9" ht="15" customHeight="1" x14ac:dyDescent="0.2">
      <c r="B48" s="70" t="s">
        <v>22</v>
      </c>
      <c r="D48" s="37" t="s">
        <v>32</v>
      </c>
    </row>
    <row r="49" spans="1:4" ht="15" customHeight="1" x14ac:dyDescent="0.2">
      <c r="C49" s="57">
        <v>831</v>
      </c>
      <c r="D49" s="37">
        <f>IF('1'!$E$18&lt;43831,2022,2021)</f>
        <v>2021</v>
      </c>
    </row>
    <row r="51" spans="1:4" ht="15" customHeight="1" x14ac:dyDescent="0.2">
      <c r="A51" s="58" t="s">
        <v>31</v>
      </c>
      <c r="B51" s="58"/>
    </row>
  </sheetData>
  <sheetProtection password="8459" sheet="1" objects="1" scenarios="1"/>
  <mergeCells count="3">
    <mergeCell ref="C8:J8"/>
    <mergeCell ref="L25:P25"/>
    <mergeCell ref="K2:O2"/>
  </mergeCell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2732C9B7C67544B918C3AC84BF2D92" ma:contentTypeVersion="13" ma:contentTypeDescription="Crée un document." ma:contentTypeScope="" ma:versionID="e50a3d2f48bbceb2041d701550928d34">
  <xsd:schema xmlns:xsd="http://www.w3.org/2001/XMLSchema" xmlns:xs="http://www.w3.org/2001/XMLSchema" xmlns:p="http://schemas.microsoft.com/office/2006/metadata/properties" xmlns:ns3="ac217802-ad5e-451a-bc27-2c973f4b848e" xmlns:ns4="a9c9ba65-0ef1-44b3-8ee2-48738882e2b9" targetNamespace="http://schemas.microsoft.com/office/2006/metadata/properties" ma:root="true" ma:fieldsID="42012412a6182d39440423768e3fe58d" ns3:_="" ns4:_="">
    <xsd:import namespace="ac217802-ad5e-451a-bc27-2c973f4b848e"/>
    <xsd:import namespace="a9c9ba65-0ef1-44b3-8ee2-48738882e2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17802-ad5e-451a-bc27-2c973f4b848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c9ba65-0ef1-44b3-8ee2-48738882e2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2A387-A35C-41ED-9F2D-E0F1167B6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217802-ad5e-451a-bc27-2c973f4b848e"/>
    <ds:schemaRef ds:uri="a9c9ba65-0ef1-44b3-8ee2-48738882e2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D6595D-75EE-4F86-9997-5CFDD391F581}">
  <ds:schemaRefs>
    <ds:schemaRef ds:uri="http://purl.org/dc/dcmitype/"/>
    <ds:schemaRef ds:uri="ac217802-ad5e-451a-bc27-2c973f4b848e"/>
    <ds:schemaRef ds:uri="http://purl.org/dc/elements/1.1/"/>
    <ds:schemaRef ds:uri="http://schemas.microsoft.com/office/2006/documentManagement/types"/>
    <ds:schemaRef ds:uri="a9c9ba65-0ef1-44b3-8ee2-48738882e2b9"/>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5ECD9E1-294B-45D3-8575-13DF4F280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Home</vt:lpstr>
      <vt:lpstr>1</vt:lpstr>
      <vt:lpstr>coot</vt:lpstr>
      <vt:lpstr>coot2</vt:lpstr>
      <vt:lpstr>dagen28</vt:lpstr>
      <vt:lpstr>dagen30</vt:lpstr>
      <vt:lpstr>dagen31</vt:lpstr>
      <vt:lpstr>'1'!Zone_d_impression</vt:lpstr>
      <vt:lpstr>Home!Zone_d_impression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VAN DEN BOSCH</dc:creator>
  <cp:lastModifiedBy>admin</cp:lastModifiedBy>
  <cp:lastPrinted>2020-01-28T21:20:55Z</cp:lastPrinted>
  <dcterms:created xsi:type="dcterms:W3CDTF">2011-03-21T06:44:21Z</dcterms:created>
  <dcterms:modified xsi:type="dcterms:W3CDTF">2020-09-25T18:11:55Z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0x0101005A2732C9B7C67544B918C3AC84BF2D92</vt:lpwstr>
  </property>
</Properties>
</file>